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anisfischer/Library/Mobile Documents/com~apple~CloudDocs/Equity Research/TSMC_v2/"/>
    </mc:Choice>
  </mc:AlternateContent>
  <xr:revisionPtr revIDLastSave="0" documentId="13_ncr:1_{F5DDD2A7-8577-934E-8450-562975196639}" xr6:coauthVersionLast="47" xr6:coauthVersionMax="47" xr10:uidLastSave="{00000000-0000-0000-0000-000000000000}"/>
  <bookViews>
    <workbookView xWindow="0" yWindow="660" windowWidth="29400" windowHeight="17200" xr2:uid="{63EA1F0B-7B1D-4349-BF47-75180C33BD85}"/>
  </bookViews>
  <sheets>
    <sheet name="ReadMe" sheetId="1" r:id="rId1"/>
    <sheet name="Assumptions" sheetId="2" r:id="rId2"/>
    <sheet name="IS" sheetId="3" r:id="rId3"/>
    <sheet name="BS" sheetId="4" r:id="rId4"/>
    <sheet name="CF" sheetId="5" r:id="rId5"/>
    <sheet name="PP&amp;E" sheetId="13" r:id="rId6"/>
    <sheet name="WC_Schedule" sheetId="6" r:id="rId7"/>
    <sheet name="Securities" sheetId="14" r:id="rId8"/>
    <sheet name="DCF" sheetId="9" r:id="rId9"/>
    <sheet name="Comps" sheetId="10" r:id="rId10"/>
    <sheet name="Sensitivity" sheetId="12" r:id="rId11"/>
    <sheet name="Valuation_Summary" sheetId="11" r:id="rId1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3" i="2" l="1"/>
  <c r="D15" i="3"/>
  <c r="D24" i="11"/>
  <c r="D23" i="11"/>
  <c r="D22" i="11"/>
  <c r="D21" i="11"/>
  <c r="D20" i="11"/>
  <c r="D19" i="11"/>
  <c r="D43" i="10"/>
  <c r="F42" i="10"/>
  <c r="F41" i="10"/>
  <c r="F40" i="10"/>
  <c r="H32" i="10"/>
  <c r="H33" i="10"/>
  <c r="H31" i="10"/>
  <c r="H30" i="10"/>
  <c r="H29" i="10"/>
  <c r="E33" i="10"/>
  <c r="E32" i="10"/>
  <c r="E31" i="10"/>
  <c r="E30" i="10"/>
  <c r="E29" i="10"/>
  <c r="G12" i="10" l="1"/>
  <c r="G11" i="10"/>
  <c r="G10" i="10"/>
  <c r="G9" i="10"/>
  <c r="G8" i="10"/>
  <c r="G7" i="13"/>
  <c r="G21" i="3"/>
  <c r="G15" i="3"/>
  <c r="G44" i="4"/>
  <c r="G36" i="4"/>
  <c r="G33" i="4"/>
  <c r="G29" i="4"/>
  <c r="G11" i="6" s="1"/>
  <c r="G18" i="6" s="1"/>
  <c r="G14" i="5" s="1"/>
  <c r="G28" i="4"/>
  <c r="G27" i="4"/>
  <c r="G26" i="4"/>
  <c r="H26" i="4" s="1"/>
  <c r="I26" i="4" s="1"/>
  <c r="J26" i="4" s="1"/>
  <c r="G19" i="4"/>
  <c r="G18" i="4"/>
  <c r="G12" i="4"/>
  <c r="G10" i="4"/>
  <c r="G9" i="4"/>
  <c r="C48" i="9" s="1"/>
  <c r="D51" i="4"/>
  <c r="C51" i="4"/>
  <c r="F44" i="4"/>
  <c r="E44" i="4"/>
  <c r="D44" i="4"/>
  <c r="C44" i="4"/>
  <c r="F36" i="4"/>
  <c r="E36" i="4"/>
  <c r="D36" i="4"/>
  <c r="C36" i="4"/>
  <c r="F33" i="4"/>
  <c r="E33" i="4"/>
  <c r="D33" i="4"/>
  <c r="C33" i="4"/>
  <c r="C26" i="5" s="1"/>
  <c r="F29" i="4"/>
  <c r="E29" i="4"/>
  <c r="D29" i="4"/>
  <c r="C29" i="4"/>
  <c r="C11" i="6" s="1"/>
  <c r="F28" i="4"/>
  <c r="E28" i="4"/>
  <c r="D28" i="4"/>
  <c r="C28" i="4"/>
  <c r="C9" i="6" s="1"/>
  <c r="C16" i="6" s="1"/>
  <c r="C12" i="5" s="1"/>
  <c r="F27" i="4"/>
  <c r="E27" i="4"/>
  <c r="D27" i="4"/>
  <c r="C27" i="4"/>
  <c r="C8" i="6" s="1"/>
  <c r="C15" i="6" s="1"/>
  <c r="C11" i="5" s="1"/>
  <c r="F26" i="4"/>
  <c r="E26" i="4"/>
  <c r="D26" i="4"/>
  <c r="C26" i="4"/>
  <c r="C25" i="5" s="1"/>
  <c r="F19" i="4"/>
  <c r="E19" i="4"/>
  <c r="D19" i="4"/>
  <c r="C19" i="4"/>
  <c r="F18" i="4"/>
  <c r="E18" i="4"/>
  <c r="D18" i="4"/>
  <c r="C18" i="4"/>
  <c r="F12" i="4"/>
  <c r="E12" i="4"/>
  <c r="D12" i="4"/>
  <c r="C12" i="4"/>
  <c r="F10" i="4"/>
  <c r="E10" i="4"/>
  <c r="D10" i="4"/>
  <c r="C10" i="4"/>
  <c r="F9" i="4"/>
  <c r="E9" i="4"/>
  <c r="D9" i="4"/>
  <c r="C9" i="4"/>
  <c r="F40" i="3"/>
  <c r="D40" i="3"/>
  <c r="F38" i="3"/>
  <c r="D38" i="3"/>
  <c r="F21" i="3"/>
  <c r="E21" i="3"/>
  <c r="D21" i="3"/>
  <c r="C21" i="3"/>
  <c r="C23" i="3" s="1"/>
  <c r="C24" i="3" s="1"/>
  <c r="F15" i="3"/>
  <c r="E15" i="3"/>
  <c r="C15" i="3"/>
  <c r="C16" i="3" s="1"/>
  <c r="C31" i="9"/>
  <c r="C20" i="9"/>
  <c r="H15" i="14"/>
  <c r="H5" i="14"/>
  <c r="H5" i="6"/>
  <c r="H5" i="13"/>
  <c r="H5" i="5"/>
  <c r="H5" i="4"/>
  <c r="C5" i="2"/>
  <c r="D5" i="2" s="1"/>
  <c r="E5" i="2" s="1"/>
  <c r="F5" i="2" s="1"/>
  <c r="G5" i="2" s="1"/>
  <c r="G82" i="2" s="1"/>
  <c r="H5" i="3"/>
  <c r="C42" i="11"/>
  <c r="C40" i="11"/>
  <c r="C36" i="11"/>
  <c r="C34" i="11"/>
  <c r="C17" i="9"/>
  <c r="C43" i="10"/>
  <c r="G43" i="10" s="1"/>
  <c r="H43" i="10" s="1"/>
  <c r="C54" i="10" s="1"/>
  <c r="C13" i="11" s="1"/>
  <c r="C24" i="11" s="1"/>
  <c r="E24" i="11" s="1"/>
  <c r="C39" i="10"/>
  <c r="F33" i="10"/>
  <c r="F32" i="10"/>
  <c r="F31" i="10"/>
  <c r="F30" i="10"/>
  <c r="F29" i="10"/>
  <c r="G23" i="10"/>
  <c r="D33" i="10" s="1"/>
  <c r="G22" i="10"/>
  <c r="D32" i="10" s="1"/>
  <c r="G21" i="10"/>
  <c r="D31" i="10" s="1"/>
  <c r="G20" i="10"/>
  <c r="D30" i="10" s="1"/>
  <c r="G19" i="10"/>
  <c r="D29" i="10" s="1"/>
  <c r="C54" i="9"/>
  <c r="L39" i="3"/>
  <c r="K39" i="3"/>
  <c r="J39" i="3"/>
  <c r="I39" i="3"/>
  <c r="H39" i="3"/>
  <c r="I37" i="3"/>
  <c r="J37" i="3" s="1"/>
  <c r="K37" i="3" s="1"/>
  <c r="L37" i="3" s="1"/>
  <c r="H37" i="3"/>
  <c r="C52" i="9"/>
  <c r="C51" i="9"/>
  <c r="C50" i="9"/>
  <c r="C49" i="9"/>
  <c r="C47" i="9"/>
  <c r="D31" i="9"/>
  <c r="E31" i="9" s="1"/>
  <c r="F31" i="9" s="1"/>
  <c r="G31" i="9" s="1"/>
  <c r="D20" i="9"/>
  <c r="E20" i="9" s="1"/>
  <c r="F20" i="9" s="1"/>
  <c r="G20" i="9" s="1"/>
  <c r="C12" i="9"/>
  <c r="C15" i="9"/>
  <c r="C11" i="9"/>
  <c r="C9" i="9"/>
  <c r="C8" i="9"/>
  <c r="C7" i="9"/>
  <c r="H47" i="4"/>
  <c r="I47" i="4" s="1"/>
  <c r="J47" i="4" s="1"/>
  <c r="K47" i="4" s="1"/>
  <c r="L47" i="4" s="1"/>
  <c r="H45" i="4"/>
  <c r="I45" i="4" s="1"/>
  <c r="J45" i="4" s="1"/>
  <c r="K45" i="4" s="1"/>
  <c r="L45" i="4" s="1"/>
  <c r="H43" i="4"/>
  <c r="I43" i="4" s="1"/>
  <c r="J43" i="4" s="1"/>
  <c r="K43" i="4" s="1"/>
  <c r="L43" i="4" s="1"/>
  <c r="H42" i="4"/>
  <c r="I42" i="4" s="1"/>
  <c r="J42" i="4" s="1"/>
  <c r="K42" i="4" s="1"/>
  <c r="L42" i="4" s="1"/>
  <c r="I36" i="4"/>
  <c r="J36" i="4" s="1"/>
  <c r="K36" i="4" s="1"/>
  <c r="L36" i="4" s="1"/>
  <c r="H36" i="4"/>
  <c r="H34" i="4"/>
  <c r="I34" i="4" s="1"/>
  <c r="J34" i="4" s="1"/>
  <c r="K34" i="4" s="1"/>
  <c r="L34" i="4" s="1"/>
  <c r="H19" i="4"/>
  <c r="I19" i="4" s="1"/>
  <c r="J19" i="4" s="1"/>
  <c r="K19" i="4" s="1"/>
  <c r="L19" i="4" s="1"/>
  <c r="H17" i="4"/>
  <c r="I17" i="4" s="1"/>
  <c r="J17" i="4" s="1"/>
  <c r="K17" i="4" s="1"/>
  <c r="L17" i="4" s="1"/>
  <c r="G35" i="3"/>
  <c r="H33" i="4"/>
  <c r="L26" i="5"/>
  <c r="K26" i="5"/>
  <c r="J26" i="5"/>
  <c r="I26" i="5"/>
  <c r="H26" i="5"/>
  <c r="H84" i="2"/>
  <c r="H83" i="2"/>
  <c r="G84" i="2"/>
  <c r="G83" i="2"/>
  <c r="F84" i="2"/>
  <c r="F83" i="2"/>
  <c r="E84" i="2"/>
  <c r="E83" i="2"/>
  <c r="D84" i="2"/>
  <c r="D83" i="2"/>
  <c r="C84" i="2"/>
  <c r="H6" i="3"/>
  <c r="H12" i="3" s="1"/>
  <c r="H13" i="3" s="1"/>
  <c r="L25" i="5"/>
  <c r="K25" i="5"/>
  <c r="J25" i="5"/>
  <c r="I25" i="5"/>
  <c r="H25" i="5"/>
  <c r="H16" i="14"/>
  <c r="G16" i="14"/>
  <c r="G17" i="14" s="1"/>
  <c r="L17" i="14"/>
  <c r="K17" i="14"/>
  <c r="J17" i="14"/>
  <c r="I17" i="14"/>
  <c r="L7" i="14"/>
  <c r="K7" i="14"/>
  <c r="J7" i="14"/>
  <c r="I7" i="14"/>
  <c r="H17" i="14"/>
  <c r="H18" i="14" s="1"/>
  <c r="H7" i="14"/>
  <c r="G17" i="6"/>
  <c r="G13" i="5" s="1"/>
  <c r="G23" i="3"/>
  <c r="H82" i="2"/>
  <c r="H10" i="2"/>
  <c r="G10" i="2"/>
  <c r="F10" i="2"/>
  <c r="E10" i="2"/>
  <c r="D10" i="2"/>
  <c r="C10" i="2"/>
  <c r="D57" i="2"/>
  <c r="C14" i="9" s="1"/>
  <c r="G36" i="5"/>
  <c r="H35" i="5" s="1"/>
  <c r="F36" i="5"/>
  <c r="G35" i="5" s="1"/>
  <c r="E36" i="5"/>
  <c r="D36" i="5"/>
  <c r="C36" i="5"/>
  <c r="D35" i="5" s="1"/>
  <c r="C28" i="5"/>
  <c r="G28" i="5"/>
  <c r="F28" i="5"/>
  <c r="E28" i="5"/>
  <c r="D28" i="5"/>
  <c r="G26" i="5"/>
  <c r="F26" i="5"/>
  <c r="E26" i="5"/>
  <c r="F25" i="5"/>
  <c r="E25" i="5"/>
  <c r="F7" i="14"/>
  <c r="E7" i="14"/>
  <c r="F16" i="14"/>
  <c r="F17" i="14" s="1"/>
  <c r="G18" i="14"/>
  <c r="F18" i="14"/>
  <c r="E18" i="14"/>
  <c r="D18" i="14"/>
  <c r="C18" i="14"/>
  <c r="D16" i="14" s="1"/>
  <c r="G6" i="14"/>
  <c r="F6" i="14"/>
  <c r="E6" i="14"/>
  <c r="D6" i="14"/>
  <c r="F8" i="14"/>
  <c r="E8" i="14"/>
  <c r="D8" i="14"/>
  <c r="D7" i="14" s="1"/>
  <c r="C8" i="14"/>
  <c r="F11" i="13"/>
  <c r="E11" i="13"/>
  <c r="D11" i="13"/>
  <c r="I15" i="14"/>
  <c r="J15" i="14" s="1"/>
  <c r="K15" i="14" s="1"/>
  <c r="L15" i="14" s="1"/>
  <c r="I5" i="14"/>
  <c r="J5" i="14" s="1"/>
  <c r="K5" i="14" s="1"/>
  <c r="L5" i="14" s="1"/>
  <c r="D10" i="5"/>
  <c r="C13" i="6"/>
  <c r="C9" i="5" s="1"/>
  <c r="E18" i="6"/>
  <c r="E14" i="5" s="1"/>
  <c r="E14" i="6"/>
  <c r="E10" i="5" s="1"/>
  <c r="D14" i="6"/>
  <c r="F13" i="6"/>
  <c r="F9" i="5" s="1"/>
  <c r="F11" i="6"/>
  <c r="F18" i="6" s="1"/>
  <c r="F14" i="5" s="1"/>
  <c r="E11" i="6"/>
  <c r="D11" i="6"/>
  <c r="G10" i="6"/>
  <c r="F10" i="6"/>
  <c r="E10" i="6"/>
  <c r="F17" i="6" s="1"/>
  <c r="F13" i="5" s="1"/>
  <c r="D10" i="6"/>
  <c r="E17" i="6" s="1"/>
  <c r="E13" i="5" s="1"/>
  <c r="C10" i="6"/>
  <c r="D17" i="6" s="1"/>
  <c r="D13" i="5" s="1"/>
  <c r="G9" i="6"/>
  <c r="F9" i="6"/>
  <c r="F16" i="6" s="1"/>
  <c r="F12" i="5" s="1"/>
  <c r="E9" i="6"/>
  <c r="E16" i="6" s="1"/>
  <c r="E12" i="5" s="1"/>
  <c r="D9" i="6"/>
  <c r="G8" i="6"/>
  <c r="F8" i="6"/>
  <c r="F15" i="6" s="1"/>
  <c r="F11" i="5" s="1"/>
  <c r="E8" i="6"/>
  <c r="E15" i="6" s="1"/>
  <c r="E11" i="5" s="1"/>
  <c r="D8" i="6"/>
  <c r="D15" i="6" s="1"/>
  <c r="D11" i="5" s="1"/>
  <c r="G7" i="6"/>
  <c r="F7" i="6"/>
  <c r="E7" i="6"/>
  <c r="D7" i="6"/>
  <c r="C7" i="6"/>
  <c r="C14" i="6" s="1"/>
  <c r="C10" i="5" s="1"/>
  <c r="G6" i="6"/>
  <c r="G13" i="6" s="1"/>
  <c r="G9" i="5" s="1"/>
  <c r="F6" i="6"/>
  <c r="E6" i="6"/>
  <c r="D6" i="6"/>
  <c r="E13" i="6" s="1"/>
  <c r="E9" i="5" s="1"/>
  <c r="C6" i="6"/>
  <c r="D13" i="6" s="1"/>
  <c r="D9" i="5" s="1"/>
  <c r="G5" i="6"/>
  <c r="F5" i="6" s="1"/>
  <c r="E5" i="6" s="1"/>
  <c r="D5" i="6" s="1"/>
  <c r="C5" i="6" s="1"/>
  <c r="G8" i="5"/>
  <c r="F8" i="5"/>
  <c r="E8" i="5"/>
  <c r="D8" i="5"/>
  <c r="C8" i="5"/>
  <c r="F7" i="13"/>
  <c r="F18" i="5" s="1"/>
  <c r="G8" i="13"/>
  <c r="F8" i="13"/>
  <c r="E8" i="13"/>
  <c r="D8" i="13"/>
  <c r="C8" i="13"/>
  <c r="F24" i="3"/>
  <c r="E24" i="3"/>
  <c r="F23" i="3"/>
  <c r="E23" i="3"/>
  <c r="D23" i="3"/>
  <c r="D24" i="3" s="1"/>
  <c r="G6" i="13"/>
  <c r="F6" i="13"/>
  <c r="E6" i="13"/>
  <c r="D6" i="13"/>
  <c r="D7" i="13" s="1"/>
  <c r="D18" i="5" s="1"/>
  <c r="G10" i="13"/>
  <c r="G11" i="13" s="1"/>
  <c r="F10" i="13"/>
  <c r="E10" i="13"/>
  <c r="D10" i="13"/>
  <c r="C10" i="13"/>
  <c r="C11" i="13" s="1"/>
  <c r="G5" i="13"/>
  <c r="F5" i="13" s="1"/>
  <c r="E5" i="13" s="1"/>
  <c r="D5" i="13" s="1"/>
  <c r="C5" i="13" s="1"/>
  <c r="G7" i="5"/>
  <c r="F7" i="5"/>
  <c r="E7" i="5"/>
  <c r="D7" i="5"/>
  <c r="C7" i="5"/>
  <c r="I5" i="5"/>
  <c r="J5" i="5" s="1"/>
  <c r="K5" i="5" s="1"/>
  <c r="L5" i="5" s="1"/>
  <c r="G52" i="4"/>
  <c r="F52" i="4"/>
  <c r="E52" i="4"/>
  <c r="D52" i="4"/>
  <c r="C52" i="4"/>
  <c r="I5" i="4"/>
  <c r="J5" i="4" s="1"/>
  <c r="K5" i="4" s="1"/>
  <c r="L5" i="4" s="1"/>
  <c r="G16" i="3"/>
  <c r="F16" i="3"/>
  <c r="E16" i="3"/>
  <c r="D16" i="3"/>
  <c r="G13" i="3"/>
  <c r="F13" i="3"/>
  <c r="E13" i="3"/>
  <c r="D13" i="3"/>
  <c r="C13" i="3"/>
  <c r="F35" i="3"/>
  <c r="E35" i="3"/>
  <c r="D35" i="3"/>
  <c r="G32" i="3"/>
  <c r="F32" i="3"/>
  <c r="E32" i="3"/>
  <c r="D32" i="3"/>
  <c r="G19" i="3"/>
  <c r="F19" i="3"/>
  <c r="E19" i="3"/>
  <c r="D19" i="3"/>
  <c r="E10" i="3"/>
  <c r="F10" i="3"/>
  <c r="G10" i="3"/>
  <c r="E7" i="3"/>
  <c r="F7" i="3"/>
  <c r="G7" i="3"/>
  <c r="D7" i="3"/>
  <c r="D10" i="3"/>
  <c r="C32" i="3"/>
  <c r="C35" i="3"/>
  <c r="C19" i="3"/>
  <c r="C10" i="3"/>
  <c r="G5" i="3"/>
  <c r="F5" i="3" s="1"/>
  <c r="E5" i="3" s="1"/>
  <c r="D5" i="3" s="1"/>
  <c r="C5" i="3" s="1"/>
  <c r="C13" i="9" l="1"/>
  <c r="C44" i="10"/>
  <c r="C42" i="10"/>
  <c r="C41" i="10"/>
  <c r="G24" i="3"/>
  <c r="G25" i="5"/>
  <c r="H27" i="3"/>
  <c r="H6" i="13"/>
  <c r="G18" i="5"/>
  <c r="G14" i="6"/>
  <c r="G10" i="5" s="1"/>
  <c r="G8" i="14"/>
  <c r="C37" i="11"/>
  <c r="F30" i="5"/>
  <c r="E30" i="5"/>
  <c r="D26" i="5"/>
  <c r="G30" i="5"/>
  <c r="C18" i="6"/>
  <c r="C14" i="5" s="1"/>
  <c r="D18" i="6"/>
  <c r="D14" i="5" s="1"/>
  <c r="D15" i="5" s="1"/>
  <c r="D16" i="6"/>
  <c r="D12" i="5" s="1"/>
  <c r="G16" i="6"/>
  <c r="G12" i="5" s="1"/>
  <c r="G15" i="6"/>
  <c r="G11" i="5" s="1"/>
  <c r="D25" i="5"/>
  <c r="D30" i="5" s="1"/>
  <c r="D17" i="14"/>
  <c r="E16" i="14"/>
  <c r="E17" i="14" s="1"/>
  <c r="E19" i="5" s="1"/>
  <c r="D19" i="5"/>
  <c r="C16" i="14"/>
  <c r="C17" i="14" s="1"/>
  <c r="F19" i="5"/>
  <c r="C6" i="13"/>
  <c r="E7" i="13"/>
  <c r="E18" i="5" s="1"/>
  <c r="C7" i="13"/>
  <c r="C18" i="5" s="1"/>
  <c r="C17" i="6"/>
  <c r="C13" i="5" s="1"/>
  <c r="F14" i="6"/>
  <c r="F10" i="5" s="1"/>
  <c r="C6" i="14"/>
  <c r="C7" i="14" s="1"/>
  <c r="C19" i="5" s="1"/>
  <c r="C22" i="5" s="1"/>
  <c r="D42" i="10"/>
  <c r="C40" i="10"/>
  <c r="C10" i="9"/>
  <c r="C16" i="9" s="1"/>
  <c r="L19" i="5"/>
  <c r="C30" i="5"/>
  <c r="C15" i="5"/>
  <c r="E15" i="5"/>
  <c r="F15" i="5"/>
  <c r="I19" i="5"/>
  <c r="K19" i="5"/>
  <c r="K26" i="4"/>
  <c r="I33" i="4"/>
  <c r="J19" i="5"/>
  <c r="I16" i="14"/>
  <c r="I18" i="14" s="1"/>
  <c r="H18" i="4"/>
  <c r="H19" i="5"/>
  <c r="H8" i="13"/>
  <c r="C25" i="9" s="1"/>
  <c r="H11" i="6"/>
  <c r="H7" i="13"/>
  <c r="C26" i="9" s="1"/>
  <c r="H10" i="6"/>
  <c r="H6" i="6"/>
  <c r="F82" i="2"/>
  <c r="H15" i="3"/>
  <c r="H9" i="6" s="1"/>
  <c r="C82" i="2"/>
  <c r="D82" i="2"/>
  <c r="E82" i="2"/>
  <c r="H7" i="3"/>
  <c r="H8" i="3"/>
  <c r="I6" i="3"/>
  <c r="E35" i="5"/>
  <c r="F35" i="5"/>
  <c r="C35" i="5"/>
  <c r="G15" i="14"/>
  <c r="F15" i="14" s="1"/>
  <c r="E15" i="14" s="1"/>
  <c r="D15" i="14" s="1"/>
  <c r="C15" i="14" s="1"/>
  <c r="G5" i="14"/>
  <c r="F5" i="14" s="1"/>
  <c r="E5" i="14" s="1"/>
  <c r="D5" i="14" s="1"/>
  <c r="C5" i="14" s="1"/>
  <c r="I5" i="6"/>
  <c r="J5" i="6" s="1"/>
  <c r="K5" i="6" s="1"/>
  <c r="L5" i="6" s="1"/>
  <c r="I5" i="13"/>
  <c r="J5" i="13" s="1"/>
  <c r="K5" i="13" s="1"/>
  <c r="L5" i="13" s="1"/>
  <c r="G5" i="5"/>
  <c r="F5" i="5" s="1"/>
  <c r="E5" i="5" s="1"/>
  <c r="D5" i="5" s="1"/>
  <c r="C5" i="5" s="1"/>
  <c r="G5" i="4"/>
  <c r="F5" i="4" s="1"/>
  <c r="E5" i="4" s="1"/>
  <c r="D5" i="4" s="1"/>
  <c r="C5" i="4" s="1"/>
  <c r="I5" i="3"/>
  <c r="J5" i="3" s="1"/>
  <c r="K5" i="3" s="1"/>
  <c r="L5" i="3" s="1"/>
  <c r="E42" i="10" l="1"/>
  <c r="G15" i="5"/>
  <c r="G7" i="14"/>
  <c r="G19" i="5" s="1"/>
  <c r="G21" i="5" s="1"/>
  <c r="G22" i="5" s="1"/>
  <c r="G32" i="5" s="1"/>
  <c r="H6" i="14"/>
  <c r="H8" i="14" s="1"/>
  <c r="C32" i="5"/>
  <c r="G33" i="9"/>
  <c r="F33" i="9"/>
  <c r="E33" i="9"/>
  <c r="D33" i="9"/>
  <c r="C33" i="9"/>
  <c r="F21" i="5"/>
  <c r="F22" i="5" s="1"/>
  <c r="F32" i="5" s="1"/>
  <c r="E21" i="5"/>
  <c r="E22" i="5" s="1"/>
  <c r="E32" i="5" s="1"/>
  <c r="D21" i="5"/>
  <c r="D22" i="5" s="1"/>
  <c r="D32" i="5" s="1"/>
  <c r="J33" i="4"/>
  <c r="I27" i="3"/>
  <c r="L26" i="4"/>
  <c r="H16" i="6"/>
  <c r="H12" i="5" s="1"/>
  <c r="H28" i="4"/>
  <c r="J16" i="14"/>
  <c r="J18" i="14" s="1"/>
  <c r="I18" i="4"/>
  <c r="H21" i="3"/>
  <c r="H8" i="5"/>
  <c r="H12" i="4"/>
  <c r="H17" i="6"/>
  <c r="H13" i="5" s="1"/>
  <c r="H10" i="4"/>
  <c r="H13" i="6"/>
  <c r="H10" i="13"/>
  <c r="H16" i="4" s="1"/>
  <c r="H20" i="4" s="1"/>
  <c r="H18" i="5"/>
  <c r="H22" i="5" s="1"/>
  <c r="H18" i="6"/>
  <c r="H14" i="5" s="1"/>
  <c r="H29" i="4"/>
  <c r="I10" i="6"/>
  <c r="I7" i="13"/>
  <c r="I11" i="6"/>
  <c r="I8" i="13"/>
  <c r="D25" i="9" s="1"/>
  <c r="I6" i="6"/>
  <c r="H9" i="3"/>
  <c r="H10" i="3" s="1"/>
  <c r="H7" i="6"/>
  <c r="H8" i="6"/>
  <c r="I15" i="3"/>
  <c r="I12" i="3"/>
  <c r="I7" i="3"/>
  <c r="I8" i="3"/>
  <c r="J6" i="3"/>
  <c r="I6" i="14" l="1"/>
  <c r="I8" i="14" s="1"/>
  <c r="H9" i="4"/>
  <c r="I18" i="5"/>
  <c r="I22" i="5" s="1"/>
  <c r="D26" i="9"/>
  <c r="H9" i="5"/>
  <c r="K33" i="4"/>
  <c r="J27" i="3"/>
  <c r="I6" i="13"/>
  <c r="I10" i="13" s="1"/>
  <c r="I10" i="4"/>
  <c r="I13" i="3"/>
  <c r="I9" i="6"/>
  <c r="I21" i="3"/>
  <c r="I8" i="5"/>
  <c r="I13" i="6"/>
  <c r="I12" i="4"/>
  <c r="K16" i="14"/>
  <c r="K18" i="14" s="1"/>
  <c r="J18" i="4"/>
  <c r="H27" i="4"/>
  <c r="H30" i="4" s="1"/>
  <c r="H15" i="6"/>
  <c r="H11" i="5" s="1"/>
  <c r="H11" i="4"/>
  <c r="H14" i="6"/>
  <c r="H10" i="5" s="1"/>
  <c r="I17" i="6"/>
  <c r="I13" i="5" s="1"/>
  <c r="I29" i="4"/>
  <c r="I18" i="6"/>
  <c r="I14" i="5" s="1"/>
  <c r="I9" i="3"/>
  <c r="I18" i="3" s="1"/>
  <c r="D22" i="9" s="1"/>
  <c r="I7" i="6"/>
  <c r="I14" i="6" s="1"/>
  <c r="I10" i="5" s="1"/>
  <c r="I8" i="6"/>
  <c r="H18" i="3"/>
  <c r="J7" i="13"/>
  <c r="J11" i="6"/>
  <c r="J8" i="13"/>
  <c r="E25" i="9" s="1"/>
  <c r="J6" i="6"/>
  <c r="J10" i="6"/>
  <c r="J17" i="6" s="1"/>
  <c r="J13" i="5" s="1"/>
  <c r="J15" i="3"/>
  <c r="J12" i="3"/>
  <c r="J7" i="3"/>
  <c r="J8" i="3"/>
  <c r="K6" i="3"/>
  <c r="J6" i="14" l="1"/>
  <c r="J8" i="14" s="1"/>
  <c r="I9" i="4"/>
  <c r="C22" i="9"/>
  <c r="C23" i="9" s="1"/>
  <c r="C24" i="9" s="1"/>
  <c r="D41" i="10"/>
  <c r="E41" i="10" s="1"/>
  <c r="C27" i="9"/>
  <c r="J18" i="5"/>
  <c r="J22" i="5" s="1"/>
  <c r="E26" i="9"/>
  <c r="I9" i="5"/>
  <c r="D23" i="9"/>
  <c r="D24" i="9" s="1"/>
  <c r="L33" i="4"/>
  <c r="K27" i="3"/>
  <c r="L27" i="3"/>
  <c r="I10" i="3"/>
  <c r="I15" i="6"/>
  <c r="I11" i="5" s="1"/>
  <c r="I27" i="4"/>
  <c r="I28" i="4"/>
  <c r="I16" i="6"/>
  <c r="I12" i="5" s="1"/>
  <c r="J12" i="4"/>
  <c r="I11" i="4"/>
  <c r="J10" i="4"/>
  <c r="J21" i="3"/>
  <c r="J8" i="5"/>
  <c r="K18" i="4"/>
  <c r="L16" i="14"/>
  <c r="L18" i="14" s="1"/>
  <c r="L18" i="4" s="1"/>
  <c r="J13" i="6"/>
  <c r="J13" i="3"/>
  <c r="J9" i="6"/>
  <c r="J29" i="4"/>
  <c r="J18" i="6"/>
  <c r="J14" i="5" s="1"/>
  <c r="H19" i="3"/>
  <c r="H23" i="3"/>
  <c r="J7" i="6"/>
  <c r="J8" i="6"/>
  <c r="J6" i="13"/>
  <c r="J10" i="13" s="1"/>
  <c r="I16" i="4"/>
  <c r="I20" i="4" s="1"/>
  <c r="I19" i="3"/>
  <c r="I23" i="3"/>
  <c r="I24" i="3" s="1"/>
  <c r="J9" i="3"/>
  <c r="J10" i="3" s="1"/>
  <c r="K11" i="6"/>
  <c r="K8" i="13"/>
  <c r="F25" i="9" s="1"/>
  <c r="K6" i="6"/>
  <c r="K10" i="6"/>
  <c r="K17" i="6" s="1"/>
  <c r="K13" i="5" s="1"/>
  <c r="K7" i="13"/>
  <c r="K15" i="3"/>
  <c r="K12" i="3"/>
  <c r="K7" i="3"/>
  <c r="K8" i="3"/>
  <c r="K9" i="3" s="1"/>
  <c r="L6" i="3"/>
  <c r="C26" i="12" l="1"/>
  <c r="C28" i="12"/>
  <c r="C27" i="12"/>
  <c r="C25" i="12"/>
  <c r="C24" i="12"/>
  <c r="J18" i="3"/>
  <c r="E22" i="9" s="1"/>
  <c r="E23" i="9" s="1"/>
  <c r="E24" i="9" s="1"/>
  <c r="C28" i="9"/>
  <c r="C34" i="9" s="1"/>
  <c r="J9" i="4"/>
  <c r="K6" i="14"/>
  <c r="K8" i="14" s="1"/>
  <c r="H24" i="3"/>
  <c r="D40" i="10"/>
  <c r="E40" i="10" s="1"/>
  <c r="K18" i="5"/>
  <c r="K22" i="5" s="1"/>
  <c r="F26" i="9"/>
  <c r="D27" i="9"/>
  <c r="D28" i="9" s="1"/>
  <c r="D34" i="9" s="1"/>
  <c r="J9" i="5"/>
  <c r="I30" i="4"/>
  <c r="J16" i="6"/>
  <c r="J12" i="5" s="1"/>
  <c r="J28" i="4"/>
  <c r="K13" i="3"/>
  <c r="K9" i="6"/>
  <c r="K12" i="4"/>
  <c r="K10" i="4"/>
  <c r="J27" i="4"/>
  <c r="J15" i="6"/>
  <c r="J11" i="5" s="1"/>
  <c r="K13" i="6"/>
  <c r="K21" i="3"/>
  <c r="K8" i="5"/>
  <c r="J11" i="4"/>
  <c r="J14" i="6"/>
  <c r="J10" i="5" s="1"/>
  <c r="K29" i="4"/>
  <c r="K18" i="6"/>
  <c r="K14" i="5" s="1"/>
  <c r="K6" i="13"/>
  <c r="K10" i="13" s="1"/>
  <c r="J16" i="4"/>
  <c r="J20" i="4" s="1"/>
  <c r="L11" i="6"/>
  <c r="L29" i="4" s="1"/>
  <c r="L8" i="13"/>
  <c r="G25" i="9" s="1"/>
  <c r="L6" i="6"/>
  <c r="L10" i="4" s="1"/>
  <c r="L10" i="6"/>
  <c r="L12" i="4" s="1"/>
  <c r="L7" i="13"/>
  <c r="K7" i="6"/>
  <c r="K14" i="6" s="1"/>
  <c r="K10" i="5" s="1"/>
  <c r="K8" i="6"/>
  <c r="K10" i="3"/>
  <c r="K18" i="3"/>
  <c r="F22" i="9" s="1"/>
  <c r="L15" i="3"/>
  <c r="L12" i="3"/>
  <c r="L8" i="3"/>
  <c r="L7" i="3"/>
  <c r="J19" i="3" l="1"/>
  <c r="J23" i="3"/>
  <c r="J24" i="3" s="1"/>
  <c r="J30" i="4"/>
  <c r="L6" i="14"/>
  <c r="L8" i="14" s="1"/>
  <c r="L9" i="4" s="1"/>
  <c r="K9" i="4"/>
  <c r="F23" i="9"/>
  <c r="F24" i="9" s="1"/>
  <c r="K9" i="5"/>
  <c r="L18" i="5"/>
  <c r="L22" i="5" s="1"/>
  <c r="G26" i="9"/>
  <c r="E27" i="9"/>
  <c r="E28" i="9" s="1"/>
  <c r="E34" i="9" s="1"/>
  <c r="L13" i="6"/>
  <c r="L17" i="6"/>
  <c r="L13" i="5" s="1"/>
  <c r="L21" i="3"/>
  <c r="L8" i="5"/>
  <c r="K27" i="4"/>
  <c r="K15" i="6"/>
  <c r="K11" i="5" s="1"/>
  <c r="K11" i="4"/>
  <c r="K28" i="4"/>
  <c r="K16" i="6"/>
  <c r="K12" i="5" s="1"/>
  <c r="L13" i="3"/>
  <c r="L9" i="6"/>
  <c r="L18" i="6"/>
  <c r="L14" i="5" s="1"/>
  <c r="L8" i="6"/>
  <c r="L7" i="6"/>
  <c r="L11" i="4" s="1"/>
  <c r="K19" i="3"/>
  <c r="K23" i="3"/>
  <c r="K24" i="3" s="1"/>
  <c r="L9" i="3"/>
  <c r="L18" i="3" s="1"/>
  <c r="G22" i="9" s="1"/>
  <c r="K16" i="4"/>
  <c r="K20" i="4" s="1"/>
  <c r="L6" i="13"/>
  <c r="L10" i="13" s="1"/>
  <c r="L16" i="4" s="1"/>
  <c r="L20" i="4" s="1"/>
  <c r="F27" i="9" l="1"/>
  <c r="F28" i="9" s="1"/>
  <c r="F34" i="9" s="1"/>
  <c r="G23" i="9"/>
  <c r="G24" i="9" s="1"/>
  <c r="L9" i="5"/>
  <c r="K30" i="4"/>
  <c r="L14" i="6"/>
  <c r="L10" i="5" s="1"/>
  <c r="L15" i="6"/>
  <c r="L11" i="5" s="1"/>
  <c r="L27" i="4"/>
  <c r="L10" i="3"/>
  <c r="L16" i="6"/>
  <c r="L12" i="5" s="1"/>
  <c r="L28" i="4"/>
  <c r="L19" i="3"/>
  <c r="L23" i="3"/>
  <c r="L24" i="3" s="1"/>
  <c r="G27" i="9" l="1"/>
  <c r="G28" i="9" s="1"/>
  <c r="L30" i="4"/>
  <c r="C39" i="9" l="1"/>
  <c r="C40" i="9" s="1"/>
  <c r="C41" i="9" s="1"/>
  <c r="G34" i="9"/>
  <c r="C46" i="9" l="1"/>
  <c r="C53" i="9" s="1"/>
  <c r="C55" i="9" s="1"/>
  <c r="C35" i="11" s="1"/>
  <c r="C8" i="11" l="1"/>
  <c r="C19" i="11" s="1"/>
  <c r="E19" i="11" s="1"/>
  <c r="C10" i="12"/>
  <c r="G40" i="10" l="1"/>
  <c r="H40" i="10" s="1"/>
  <c r="C21" i="12"/>
  <c r="C23" i="12" s="1"/>
  <c r="G41" i="10"/>
  <c r="H41" i="10" s="1"/>
  <c r="C52" i="10" s="1"/>
  <c r="C11" i="11" s="1"/>
  <c r="C22" i="11" s="1"/>
  <c r="E22" i="11" s="1"/>
  <c r="G42" i="10"/>
  <c r="H42" i="10" s="1"/>
  <c r="C53" i="10" s="1"/>
  <c r="C12" i="11" s="1"/>
  <c r="C23" i="11" s="1"/>
  <c r="E23" i="11" s="1"/>
  <c r="C51" i="10" l="1"/>
  <c r="C10" i="11" s="1"/>
  <c r="C21" i="11" s="1"/>
  <c r="E21" i="11" s="1"/>
  <c r="C41" i="11"/>
  <c r="H8" i="4" l="1"/>
  <c r="I8" i="4"/>
  <c r="J8" i="4"/>
  <c r="K8" i="4"/>
  <c r="L8" i="4"/>
  <c r="H13" i="4"/>
  <c r="I13" i="4"/>
  <c r="J13" i="4"/>
  <c r="K13" i="4"/>
  <c r="L13" i="4"/>
  <c r="H22" i="4"/>
  <c r="I22" i="4"/>
  <c r="J22" i="4"/>
  <c r="K22" i="4"/>
  <c r="L22" i="4"/>
  <c r="H35" i="4"/>
  <c r="I35" i="4"/>
  <c r="J35" i="4"/>
  <c r="K35" i="4"/>
  <c r="L35" i="4"/>
  <c r="H37" i="4"/>
  <c r="I37" i="4"/>
  <c r="J37" i="4"/>
  <c r="K37" i="4"/>
  <c r="L37" i="4"/>
  <c r="H39" i="4"/>
  <c r="I39" i="4"/>
  <c r="J39" i="4"/>
  <c r="K39" i="4"/>
  <c r="L39" i="4"/>
  <c r="H44" i="4"/>
  <c r="I44" i="4"/>
  <c r="J44" i="4"/>
  <c r="K44" i="4"/>
  <c r="L44" i="4"/>
  <c r="H46" i="4"/>
  <c r="I46" i="4"/>
  <c r="J46" i="4"/>
  <c r="K46" i="4"/>
  <c r="L46" i="4"/>
  <c r="H49" i="4"/>
  <c r="I49" i="4"/>
  <c r="J49" i="4"/>
  <c r="K49" i="4"/>
  <c r="L49" i="4"/>
  <c r="H51" i="4"/>
  <c r="I51" i="4"/>
  <c r="J51" i="4"/>
  <c r="K51" i="4"/>
  <c r="L51" i="4"/>
  <c r="H52" i="4"/>
  <c r="I52" i="4"/>
  <c r="J52" i="4"/>
  <c r="K52" i="4"/>
  <c r="L52" i="4"/>
  <c r="H7" i="5"/>
  <c r="I7" i="5"/>
  <c r="J7" i="5"/>
  <c r="K7" i="5"/>
  <c r="L7" i="5"/>
  <c r="H15" i="5"/>
  <c r="I15" i="5"/>
  <c r="J15" i="5"/>
  <c r="K15" i="5"/>
  <c r="L15" i="5"/>
  <c r="H27" i="5"/>
  <c r="I27" i="5"/>
  <c r="J27" i="5"/>
  <c r="K27" i="5"/>
  <c r="L27" i="5"/>
  <c r="H30" i="5"/>
  <c r="I30" i="5"/>
  <c r="J30" i="5"/>
  <c r="K30" i="5"/>
  <c r="L30" i="5"/>
  <c r="H32" i="5"/>
  <c r="I32" i="5"/>
  <c r="J32" i="5"/>
  <c r="K32" i="5"/>
  <c r="L32" i="5"/>
  <c r="I35" i="5"/>
  <c r="J35" i="5"/>
  <c r="K35" i="5"/>
  <c r="L35" i="5"/>
  <c r="H36" i="5"/>
  <c r="I36" i="5"/>
  <c r="J36" i="5"/>
  <c r="K36" i="5"/>
  <c r="L36" i="5"/>
  <c r="D39" i="10"/>
  <c r="H39" i="10"/>
  <c r="C50" i="10"/>
  <c r="C56" i="10"/>
  <c r="C57" i="10"/>
  <c r="H26" i="3"/>
  <c r="I26" i="3"/>
  <c r="J26" i="3"/>
  <c r="K26" i="3"/>
  <c r="L26" i="3"/>
  <c r="H30" i="3"/>
  <c r="I30" i="3"/>
  <c r="J30" i="3"/>
  <c r="K30" i="3"/>
  <c r="L30" i="3"/>
  <c r="H31" i="3"/>
  <c r="I31" i="3"/>
  <c r="J31" i="3"/>
  <c r="K31" i="3"/>
  <c r="L31" i="3"/>
  <c r="H32" i="3"/>
  <c r="I32" i="3"/>
  <c r="J32" i="3"/>
  <c r="K32" i="3"/>
  <c r="L32" i="3"/>
  <c r="H34" i="3"/>
  <c r="I34" i="3"/>
  <c r="J34" i="3"/>
  <c r="K34" i="3"/>
  <c r="L34" i="3"/>
  <c r="H35" i="3"/>
  <c r="I35" i="3"/>
  <c r="J35" i="3"/>
  <c r="K35" i="3"/>
  <c r="L35" i="3"/>
  <c r="H38" i="3"/>
  <c r="I38" i="3"/>
  <c r="J38" i="3"/>
  <c r="K38" i="3"/>
  <c r="L38" i="3"/>
  <c r="H40" i="3"/>
  <c r="I40" i="3"/>
  <c r="J40" i="3"/>
  <c r="K40" i="3"/>
  <c r="L40" i="3"/>
  <c r="C9" i="11"/>
  <c r="C20" i="11"/>
  <c r="E20" i="11"/>
  <c r="C26" i="11"/>
  <c r="C28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tc={D0EF1B39-1BF7-7A4D-9039-415053C55101}</author>
    <author>tc={D375EC21-A502-4E44-B520-FB37C412F30F}</author>
    <author>tc={E1AAC333-0A81-E74C-B24A-DB52984EDA1A}</author>
    <author>tc={0128747E-DC19-8147-B65F-CA65B43D7A6F}</author>
    <author>tc={5F980403-1AD7-5D47-AAC3-6B937820DBAE}</author>
    <author>tc={54534C06-D519-2F4D-892E-2CB096AE3C23}</author>
    <author>tc={F47A2AE6-AA04-F848-8AEB-733572DC9B7A}</author>
    <author>tc={97941DDF-3ADB-724F-9EB6-54E462F7FD3D}</author>
    <author>tc={E88BA502-9783-0A47-8586-90806B7D2567}</author>
    <author>tc={A5585420-7A75-0144-97CA-322579E055FA}</author>
    <author>tc={B328C2C7-234D-344B-A91A-55343B1BA91F}</author>
    <author>tc={17C49102-B928-664F-9F39-D81CD3434C67}</author>
    <author>tc={DD258E58-7045-314E-8487-EE6B3872A42A}</author>
    <author>tc={B21697D2-E1D3-9941-9D53-90F15E407537}</author>
  </authors>
  <commentList>
    <comment ref="B9" authorId="0" shapeId="0" xr:uid="{D0EF1B39-1BF7-7A4D-9039-415053C55101}">
      <text>
        <t>[Threaded comment]
Your version of Excel allows you to read this threaded comment; however, any edits to it will get removed if the file is opened in a newer version of Excel. Learn more: https://go.microsoft.com/fwlink/?linkid=870924
Comment:
    - Financial assets at fair value through profit or loss
- Financial assets at FVOCI
- Financial assets at amortized cost
- Hedging financial assets</t>
      </text>
    </comment>
    <comment ref="B10" authorId="1" shapeId="0" xr:uid="{D375EC21-A502-4E44-B520-FB37C412F30F}">
      <text>
        <t>[Threaded comment]
Your version of Excel allows you to read this threaded comment; however, any edits to it will get removed if the file is opened in a newer version of Excel. Learn more: https://go.microsoft.com/fwlink/?linkid=870924
Comment:
    - Notes and accounts receivable, net
- Receivables from related parties
- Other receivables</t>
      </text>
    </comment>
    <comment ref="B12" authorId="2" shapeId="0" xr:uid="{E1AAC333-0A81-E74C-B24A-DB52984EDA1A}">
      <text>
        <t>[Threaded comment]
Your version of Excel allows you to read this threaded comment; however, any edits to it will get removed if the file is opened in a newer version of Excel. Learn more: https://go.microsoft.com/fwlink/?linkid=870924
Comment:
    - Other financial assets
- Other current assets</t>
      </text>
    </comment>
    <comment ref="B18" authorId="3" shapeId="0" xr:uid="{0128747E-DC19-8147-B65F-CA65B43D7A6F}">
      <text>
        <t>[Threaded comment]
Your version of Excel allows you to read this threaded comment; however, any edits to it will get removed if the file is opened in a newer version of Excel. Learn more: https://go.microsoft.com/fwlink/?linkid=870924
Comment:
    - Financial assets at FVOCI
- Financial assets at amortized cost</t>
      </text>
    </comment>
    <comment ref="B19" authorId="4" shapeId="0" xr:uid="{5F980403-1AD7-5D47-AAC3-6B937820DBAE}">
      <text>
        <t>[Threaded comment]
Your version of Excel allows you to read this threaded comment; however, any edits to it will get removed if the file is opened in a newer version of Excel. Learn more: https://go.microsoft.com/fwlink/?linkid=870924
Comment:
    - Investments accounted for using equity method
- right-of-use assets
- Deferred income tax assets
- Refundable deposits
- Other noncurrent assets</t>
      </text>
    </comment>
    <comment ref="B26" authorId="5" shapeId="0" xr:uid="{54534C06-D519-2F4D-892E-2CB096AE3C23}">
      <text>
        <t>[Threaded comment]
Your version of Excel allows you to read this threaded comment; however, any edits to it will get removed if the file is opened in a newer version of Excel. Learn more: https://go.microsoft.com/fwlink/?linkid=870924
Comment:
    - Short-term loans
- Long-term liabilities - current portion</t>
      </text>
    </comment>
    <comment ref="B27" authorId="6" shapeId="0" xr:uid="{F47A2AE6-AA04-F848-8AEB-733572DC9B7A}">
      <text>
        <t>[Threaded comment]
Your version of Excel allows you to read this threaded comment; however, any edits to it will get removed if the file is opened in a newer version of Excel. Learn more: https://go.microsoft.com/fwlink/?linkid=870924
Comment:
    - Accounts payable
- Payables to related parties
- Payables to contractors and equipment suppliers</t>
      </text>
    </comment>
    <comment ref="B28" authorId="7" shapeId="0" xr:uid="{97941DDF-3ADB-724F-9EB6-54E462F7FD3D}">
      <text>
        <t>[Threaded comment]
Your version of Excel allows you to read this threaded comment; however, any edits to it will get removed if the file is opened in a newer version of Excel. Learn more: https://go.microsoft.com/fwlink/?linkid=870924
Comment:
    - Salary and bonuses payable
- Accrued profit sharing bonus
- Accrued expenses and other current liabilities</t>
      </text>
    </comment>
    <comment ref="B29" authorId="8" shapeId="0" xr:uid="{E88BA502-9783-0A47-8586-90806B7D2567}">
      <text>
        <t>[Threaded comment]
Your version of Excel allows you to read this threaded comment; however, any edits to it will get removed if the file is opened in a newer version of Excel. Learn more: https://go.microsoft.com/fwlink/?linkid=870924
Comment:
    - Financial liabilities at fair value through P&amp;L
- Hedging financial liabilities
- Cash dividends payable
- Income tax payable</t>
      </text>
    </comment>
    <comment ref="B33" authorId="9" shapeId="0" xr:uid="{A5585420-7A75-0144-97CA-322579E055FA}">
      <text>
        <t>[Threaded comment]
Your version of Excel allows you to read this threaded comment; however, any edits to it will get removed if the file is opened in a newer version of Excel. Learn more: https://go.microsoft.com/fwlink/?linkid=870924
Comment:
    - Bonds payable
- Long-term bank loans</t>
      </text>
    </comment>
    <comment ref="B36" authorId="10" shapeId="0" xr:uid="{B328C2C7-234D-344B-A91A-55343B1BA91F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- Net defined benefit liability
- Guarantee deposits
- Others
</t>
      </text>
    </comment>
    <comment ref="B42" authorId="11" shapeId="0" xr:uid="{17C49102-B928-664F-9F39-D81CD3434C67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Capital stock
</t>
      </text>
    </comment>
    <comment ref="B43" authorId="12" shapeId="0" xr:uid="{DD258E58-7045-314E-8487-EE6B3872A42A}">
      <text>
        <t>[Threaded comment]
Your version of Excel allows you to read this threaded comment; however, any edits to it will get removed if the file is opened in a newer version of Excel. Learn more: https://go.microsoft.com/fwlink/?linkid=870924
Comment:
    Capital surplus</t>
      </text>
    </comment>
    <comment ref="B44" authorId="13" shapeId="0" xr:uid="{B21697D2-E1D3-9941-9D53-90F15E407537}">
      <text>
        <t>[Threaded comment]
Your version of Excel allows you to read this threaded comment; however, any edits to it will get removed if the file is opened in a newer version of Excel. Learn more: https://go.microsoft.com/fwlink/?linkid=870924
Comment:
    - Legal capital reserve
- Special capital reserve
- Unappropiated earnings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Janis Fischer</author>
  </authors>
  <commentList>
    <comment ref="C6" authorId="0" shapeId="0" xr:uid="{E8F4EF6A-9B14-8A4D-989B-30FAC05D83C1}">
      <text>
        <r>
          <rPr>
            <b/>
            <sz val="10"/>
            <color rgb="FF000000"/>
            <rFont val="Tahoma"/>
            <family val="2"/>
          </rPr>
          <t>Janis Fischer: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Do NOT enter any values !!</t>
        </r>
      </text>
    </comment>
    <comment ref="C19" authorId="0" shapeId="0" xr:uid="{54E2C8B5-1263-3D4A-BF78-772CD33D01A2}">
      <text>
        <r>
          <rPr>
            <b/>
            <sz val="10"/>
            <color rgb="FF000000"/>
            <rFont val="Tahoma"/>
            <family val="2"/>
          </rPr>
          <t>Janis Fischer: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Do NOT enter any values!!
</t>
        </r>
      </text>
    </comment>
  </commentList>
</comments>
</file>

<file path=xl/sharedStrings.xml><?xml version="1.0" encoding="utf-8"?>
<sst xmlns="http://schemas.openxmlformats.org/spreadsheetml/2006/main" count="466" uniqueCount="352">
  <si>
    <t>Revenue</t>
  </si>
  <si>
    <t>Cost of Goods Sold</t>
  </si>
  <si>
    <t>Gross Profit</t>
  </si>
  <si>
    <t>Gross Margin %</t>
  </si>
  <si>
    <t>R&amp;D</t>
  </si>
  <si>
    <t>SG&amp;A</t>
  </si>
  <si>
    <t>EBIT Margin %</t>
  </si>
  <si>
    <t>Interest Expense</t>
  </si>
  <si>
    <t>Net Income</t>
  </si>
  <si>
    <t>Net Margin %</t>
  </si>
  <si>
    <t>% Growth (YoY)</t>
  </si>
  <si>
    <t>% of Revenue</t>
  </si>
  <si>
    <t>Interest Income</t>
  </si>
  <si>
    <t>Other Income / (Expenses)</t>
  </si>
  <si>
    <t>Pre-Tax Income</t>
  </si>
  <si>
    <t>Income Tax Expense</t>
  </si>
  <si>
    <t>Effective Tax Rate %</t>
  </si>
  <si>
    <t>Earnings Per Share (EPS)</t>
  </si>
  <si>
    <t>EBITDA</t>
  </si>
  <si>
    <t>EBITDA Margin %</t>
  </si>
  <si>
    <t>EBIT</t>
  </si>
  <si>
    <t>USD in Millions except per share</t>
  </si>
  <si>
    <t>Basic Shares Outstanding (in Mio.)</t>
  </si>
  <si>
    <t xml:space="preserve">Diluted EPS </t>
  </si>
  <si>
    <t>Diluted Shares Outstanding (in Mio.)</t>
  </si>
  <si>
    <t>ASSETS</t>
  </si>
  <si>
    <t>Current Assets</t>
  </si>
  <si>
    <t>Cash &amp; Cash Equivalents</t>
  </si>
  <si>
    <t>Short-Term Marketable Securities</t>
  </si>
  <si>
    <t>Accounts Receivable</t>
  </si>
  <si>
    <t>Inventory</t>
  </si>
  <si>
    <t>Other Current Assets</t>
  </si>
  <si>
    <t>Total Current Assets</t>
  </si>
  <si>
    <t>Non-Current Assets</t>
  </si>
  <si>
    <t>Property, Plant &amp; Equipment (PP&amp;E)</t>
  </si>
  <si>
    <t>Intangible Assets</t>
  </si>
  <si>
    <t>Long-Term Marketable Securities</t>
  </si>
  <si>
    <t>Other Non-Current Assets</t>
  </si>
  <si>
    <t>Total Non-Current Assets</t>
  </si>
  <si>
    <t>Total Assets</t>
  </si>
  <si>
    <t>LIABILITIES</t>
  </si>
  <si>
    <t>Current Liabilities</t>
  </si>
  <si>
    <t>Short-Term Debt</t>
  </si>
  <si>
    <t>Accounts Payable</t>
  </si>
  <si>
    <t>Accrued Liabilities</t>
  </si>
  <si>
    <t>Other Current Liabilities</t>
  </si>
  <si>
    <t>Total Current Liabilities</t>
  </si>
  <si>
    <t>Non-Current Liabilities</t>
  </si>
  <si>
    <t>Long-term Debt</t>
  </si>
  <si>
    <t>Lease Liabilities</t>
  </si>
  <si>
    <t>Deferred Tax Liabilities</t>
  </si>
  <si>
    <t>Other Non-Current Liabilities</t>
  </si>
  <si>
    <t>Total Liabilities</t>
  </si>
  <si>
    <t>EQUITY</t>
  </si>
  <si>
    <t>Share Capital</t>
  </si>
  <si>
    <t>Additional Paid-In Capital</t>
  </si>
  <si>
    <t>Retained Earnings</t>
  </si>
  <si>
    <t>Accumulated Other Comprehensive Income (OCI)</t>
  </si>
  <si>
    <t>Total Equity</t>
  </si>
  <si>
    <t>Balance Check</t>
  </si>
  <si>
    <t>Total Non-Current Liabilities</t>
  </si>
  <si>
    <t xml:space="preserve">USD in Millions </t>
  </si>
  <si>
    <t>Equity Attributable to Shareholders of the Parent</t>
  </si>
  <si>
    <t>Non-Controlling Interests</t>
  </si>
  <si>
    <t>TOTAL</t>
  </si>
  <si>
    <t>CASH FLOW FROM OPERATIONS (CFO)</t>
  </si>
  <si>
    <t xml:space="preserve">  Net Income</t>
  </si>
  <si>
    <t xml:space="preserve">  Cash Flow from Operations (CFO)</t>
  </si>
  <si>
    <t>CASH FLOW FROM INVESTING (CFI)</t>
  </si>
  <si>
    <t xml:space="preserve">  Cash Flow from Investing (CFI)</t>
  </si>
  <si>
    <t>CASH FLOW FROM FINANCING (CFF)</t>
  </si>
  <si>
    <t xml:space="preserve">  Cash Flow from Financing (CFF)</t>
  </si>
  <si>
    <t>NET CHANGE IN CASH</t>
  </si>
  <si>
    <t xml:space="preserve">  = CFO + CFI + CFF</t>
  </si>
  <si>
    <t>BEGINNING CASH BALANCE</t>
  </si>
  <si>
    <t>ENDING CASH BALANCE</t>
  </si>
  <si>
    <t>Beginning Net PP&amp;E</t>
  </si>
  <si>
    <t>+ Capital Expenditures (CapEx)</t>
  </si>
  <si>
    <t>- Depreciation &amp; Amortization</t>
  </si>
  <si>
    <t>+/- Other PP&amp;E Adjustments</t>
  </si>
  <si>
    <t>+ Depreciation &amp; Amortization</t>
  </si>
  <si>
    <t>+/- Change in Accounts Receivable</t>
  </si>
  <si>
    <t>+/- Change in Inventory</t>
  </si>
  <si>
    <t>+/- Change in Accounts Payable</t>
  </si>
  <si>
    <t>+/- Change in Accrued Liabilities</t>
  </si>
  <si>
    <t>+/- Change in Other Current Assets</t>
  </si>
  <si>
    <t>+/- Change in Other Current Liabilities</t>
  </si>
  <si>
    <t>- Capital Expenditures (CapEx)</t>
  </si>
  <si>
    <t>+ Purchases/Sales of Marketable Securities (Net)</t>
  </si>
  <si>
    <t>+ Other Investing Cash Flows</t>
  </si>
  <si>
    <t>+ Short-Term Debt Issued / (Repaid)</t>
  </si>
  <si>
    <t>+ Long-Term Debt Issued / (Repaid)</t>
  </si>
  <si>
    <t>- Dividends Paid</t>
  </si>
  <si>
    <t>- Lease Payments</t>
  </si>
  <si>
    <t>+ Other Financing Cash Flows</t>
  </si>
  <si>
    <t>D&amp;A</t>
  </si>
  <si>
    <t>WORKING CAPITAL SCHEDULE</t>
  </si>
  <si>
    <t>INCOME STATEMENT</t>
  </si>
  <si>
    <t>BALANCE SHEET</t>
  </si>
  <si>
    <t>CASH FLOW STATEMENT</t>
  </si>
  <si>
    <t>PP&amp;E ROLLFORWARD</t>
  </si>
  <si>
    <t>Accounts Receivable (AR)</t>
  </si>
  <si>
    <t>Accounts Payable (AP)</t>
  </si>
  <si>
    <t>Change in Accounts Receivable</t>
  </si>
  <si>
    <t>Change in Inventory</t>
  </si>
  <si>
    <t>Change in Accounts Payable</t>
  </si>
  <si>
    <t>Change in Accrued Liabilities</t>
  </si>
  <si>
    <t>Change in Other Current Assets</t>
  </si>
  <si>
    <t>Change in Other Current Liabilities</t>
  </si>
  <si>
    <t>SECURITIES ROLLFORWARD (Short-Term)</t>
  </si>
  <si>
    <t>SECURITIES ROLLFORWARD (Long-Term)</t>
  </si>
  <si>
    <t>Beginning Balance</t>
  </si>
  <si>
    <t>Ending Balance</t>
  </si>
  <si>
    <t xml:space="preserve">Ending Net PP&amp;E  </t>
  </si>
  <si>
    <t>match Balance Sheet</t>
  </si>
  <si>
    <t>+ Net Purchases / Sales</t>
  </si>
  <si>
    <t>+ / - Other  Cash Flow Adjustments (Balancing Item)</t>
  </si>
  <si>
    <t>READ ME</t>
  </si>
  <si>
    <t>Other Cash Flow Adjustments (Balancing Item)</t>
  </si>
  <si>
    <t>1. Purpose of the Model</t>
  </si>
  <si>
    <t>Integrated 3-Statement Model for TSMC (Income Statement, Balance Sheet, Cash Flow Statement</t>
  </si>
  <si>
    <t>Forecasting financial performance and valuation (DCF, Trading Comps, Sensitivity)</t>
  </si>
  <si>
    <t>Provides standardized structure for scenario analysis and valuation use-cases</t>
  </si>
  <si>
    <t>2. Model Structure (Tabs Overview)</t>
  </si>
  <si>
    <t>3. Key Modeling Principles</t>
  </si>
  <si>
    <t>Blue = Hardcoded (inputs)</t>
  </si>
  <si>
    <t>Black = Formulas</t>
  </si>
  <si>
    <t>Green = Subtotals / Key Outputs</t>
  </si>
  <si>
    <t>Forecast logic entirely assumption-driven</t>
  </si>
  <si>
    <t>4. Data Sources</t>
  </si>
  <si>
    <t>Historical FX conversion: Company-reported NT$ -&gt; USD</t>
  </si>
  <si>
    <t>5. Calculation Approach</t>
  </si>
  <si>
    <t>BS forecast driven by working capital, PP&amp;E rollforward, and securities rollforwards</t>
  </si>
  <si>
    <t>6. How to Use the Model</t>
  </si>
  <si>
    <t>All outputs update automatically</t>
  </si>
  <si>
    <t>DCF refreshes automatically</t>
  </si>
  <si>
    <t>7. Known Limitations / Simplifications</t>
  </si>
  <si>
    <t>Securities rollforward uses single net purchases/sales bucket</t>
  </si>
  <si>
    <t>No explicit tax loss carryforward schedule</t>
  </si>
  <si>
    <t>No deferred revenue rollforward</t>
  </si>
  <si>
    <t>No detailed debt amortization schedule</t>
  </si>
  <si>
    <t>to zero unless otherwise specified.</t>
  </si>
  <si>
    <t>ASSUMPTIONS</t>
  </si>
  <si>
    <t>Model Date &amp; Data Cutoff</t>
  </si>
  <si>
    <t>Data Cutoff:</t>
  </si>
  <si>
    <t>Share Price as of:</t>
  </si>
  <si>
    <t>Last Filing Used:</t>
  </si>
  <si>
    <t>FX Conversion Basis:</t>
  </si>
  <si>
    <t>TSMC-reported USD figures in 20-F filings</t>
  </si>
  <si>
    <t>Forecast Start:</t>
  </si>
  <si>
    <t>1. Revenue Drivers</t>
  </si>
  <si>
    <t>2. Cost Structure Assumptions</t>
  </si>
  <si>
    <t>SG&amp;A as % of Revenue</t>
  </si>
  <si>
    <t>3. Working Capital Drivers</t>
  </si>
  <si>
    <t>AR Days</t>
  </si>
  <si>
    <t>Inventory Days</t>
  </si>
  <si>
    <t>AP Days</t>
  </si>
  <si>
    <t>4. PP&amp;E / CapEx Assumptions</t>
  </si>
  <si>
    <t>CapEx as % of revenue</t>
  </si>
  <si>
    <t>D&amp;A as % of revenue based on historical run-rate</t>
  </si>
  <si>
    <t>5. Marketable Securities Assumptions</t>
  </si>
  <si>
    <t>Short-term securities net purchases/sales (future)</t>
  </si>
  <si>
    <t>6. Financing Assumptions</t>
  </si>
  <si>
    <t>7. Tax Assumptions</t>
  </si>
  <si>
    <t>8. DCF Assumptions</t>
  </si>
  <si>
    <t>WACC Inputs:</t>
  </si>
  <si>
    <t>Risk-free rate</t>
  </si>
  <si>
    <t>Equity risk premium</t>
  </si>
  <si>
    <t>Beta</t>
  </si>
  <si>
    <t>Cost of debt</t>
  </si>
  <si>
    <t>Terminal growth rate (G)</t>
  </si>
  <si>
    <t>10. Scenario Assumptions</t>
  </si>
  <si>
    <t>Terminal</t>
  </si>
  <si>
    <t>Revenue Growth %</t>
  </si>
  <si>
    <t>Price Growth %</t>
  </si>
  <si>
    <t>Volume Growth %</t>
  </si>
  <si>
    <t>Other OpEx (% Rev)</t>
  </si>
  <si>
    <t>Other Current Liabilities (% Rev)</t>
  </si>
  <si>
    <t>Other Current Assets (% Rev)</t>
  </si>
  <si>
    <t>ST Debt Change</t>
  </si>
  <si>
    <t>Dividend Payout Ratio</t>
  </si>
  <si>
    <t>Share repurchases  (in M USD)</t>
  </si>
  <si>
    <t>one cell</t>
  </si>
  <si>
    <t>Peer List</t>
  </si>
  <si>
    <t>Scenario Selector</t>
  </si>
  <si>
    <t>EV/EBITDA</t>
  </si>
  <si>
    <t>P/E</t>
  </si>
  <si>
    <t>Base</t>
  </si>
  <si>
    <t>Bull</t>
  </si>
  <si>
    <t>Bear</t>
  </si>
  <si>
    <t>values above</t>
  </si>
  <si>
    <t>Revenue Growth</t>
  </si>
  <si>
    <t>Gross Margin</t>
  </si>
  <si>
    <t>Revenue Growth (+xx pp on base case)</t>
  </si>
  <si>
    <t>Gross Margin (+xx pp on base case)</t>
  </si>
  <si>
    <t>Gross Margin (-xx pp on base case)</t>
  </si>
  <si>
    <t>Revenue Growth (-xx pp on base case)</t>
  </si>
  <si>
    <t>Assistive cells: (to use in forecast - reflects different cases)</t>
  </si>
  <si>
    <t>Accrued Liabilities as % of OPEX on historical run-rate</t>
  </si>
  <si>
    <t>LT Debt Change</t>
  </si>
  <si>
    <t>DCF</t>
  </si>
  <si>
    <t>Equity weight</t>
  </si>
  <si>
    <t>Debt weight</t>
  </si>
  <si>
    <t>Tax rate</t>
  </si>
  <si>
    <t>WACC</t>
  </si>
  <si>
    <t>INPUTS</t>
  </si>
  <si>
    <t>Cost of Equity</t>
  </si>
  <si>
    <t>Cost of Debt</t>
  </si>
  <si>
    <t>After-tax CoD</t>
  </si>
  <si>
    <t>Terminal growth</t>
  </si>
  <si>
    <t>x</t>
  </si>
  <si>
    <t>Tax Rate %</t>
  </si>
  <si>
    <t>FCFF FORECAST</t>
  </si>
  <si>
    <t>-Taxes</t>
  </si>
  <si>
    <t>NOPAT</t>
  </si>
  <si>
    <t>+ D&amp;A</t>
  </si>
  <si>
    <t>- CapEx</t>
  </si>
  <si>
    <t>-Change in NWC</t>
  </si>
  <si>
    <t>= FCFF</t>
  </si>
  <si>
    <t>DISCOUNT FACTORS</t>
  </si>
  <si>
    <t>Discount factor</t>
  </si>
  <si>
    <t>PV of FCFF</t>
  </si>
  <si>
    <t>TERMINAL VALUE</t>
  </si>
  <si>
    <t>Terminal FCFF</t>
  </si>
  <si>
    <t>Terminal Value</t>
  </si>
  <si>
    <t>PV of TV</t>
  </si>
  <si>
    <t>ENTERPRISE VALUE</t>
  </si>
  <si>
    <t>Enterprise value (DCF)</t>
  </si>
  <si>
    <t>+ Short-term securities</t>
  </si>
  <si>
    <t>+ Long-term securities</t>
  </si>
  <si>
    <t>- Debt</t>
  </si>
  <si>
    <t>- Lease liabilities</t>
  </si>
  <si>
    <t>- Minority interests</t>
  </si>
  <si>
    <t>= Equity value</t>
  </si>
  <si>
    <t>Fair value per share</t>
  </si>
  <si>
    <t>+ Cash</t>
  </si>
  <si>
    <t>Shares outstanding (in Mio.)</t>
  </si>
  <si>
    <t>COMPS</t>
  </si>
  <si>
    <t>Company</t>
  </si>
  <si>
    <t>Ticker</t>
  </si>
  <si>
    <t>Country</t>
  </si>
  <si>
    <t>Share Price</t>
  </si>
  <si>
    <t>Currency</t>
  </si>
  <si>
    <t>Intel</t>
  </si>
  <si>
    <t>COMPANY OVERVIEW &amp; PRICE DATA</t>
  </si>
  <si>
    <t>OPERATING METRICS &amp; ESTIMATES</t>
  </si>
  <si>
    <t>Fiscal Year</t>
  </si>
  <si>
    <t>P/E (NTM)</t>
  </si>
  <si>
    <t>EV / EBITDA (NTM)</t>
  </si>
  <si>
    <t>EV / EBIT (NTM)</t>
  </si>
  <si>
    <t>EV / Sales (NTM)</t>
  </si>
  <si>
    <t>Price / Book</t>
  </si>
  <si>
    <t>VALUATION SUMMARY</t>
  </si>
  <si>
    <t>Metric</t>
  </si>
  <si>
    <t>Peer Median</t>
  </si>
  <si>
    <t>TSMC Metric</t>
  </si>
  <si>
    <t>NVIDIA</t>
  </si>
  <si>
    <t>AMD</t>
  </si>
  <si>
    <t>Broadcom</t>
  </si>
  <si>
    <t>Qualcomm</t>
  </si>
  <si>
    <t>NVDA</t>
  </si>
  <si>
    <t>INTC</t>
  </si>
  <si>
    <t>AVGO</t>
  </si>
  <si>
    <t>QCOM</t>
  </si>
  <si>
    <t>US</t>
  </si>
  <si>
    <t>USD</t>
  </si>
  <si>
    <t>Net Debt (in bln)</t>
  </si>
  <si>
    <t>Market Cap (in bln)</t>
  </si>
  <si>
    <t>Enterprise Value (in bln)</t>
  </si>
  <si>
    <t>Revenue (LTM) (in bln)</t>
  </si>
  <si>
    <t>EBITDA (LTM) (in bln)</t>
  </si>
  <si>
    <t>MULTIPLE TABLE</t>
  </si>
  <si>
    <t>PEER MEDIANS</t>
  </si>
  <si>
    <t>IMPLICIT TSMC VALUATION</t>
  </si>
  <si>
    <t>Multiple Method</t>
  </si>
  <si>
    <t>Implied Share Price</t>
  </si>
  <si>
    <t>Median Implied Price</t>
  </si>
  <si>
    <t>Mean Implied Price</t>
  </si>
  <si>
    <r>
      <t xml:space="preserve">Implied EqV </t>
    </r>
    <r>
      <rPr>
        <sz val="12"/>
        <color theme="1"/>
        <rFont val="Aptos Narrow"/>
        <scheme val="minor"/>
      </rPr>
      <t>(in Mio.)</t>
    </r>
  </si>
  <si>
    <r>
      <t xml:space="preserve">Net Debt </t>
    </r>
    <r>
      <rPr>
        <sz val="12"/>
        <color theme="1"/>
        <rFont val="Aptos Narrow"/>
        <scheme val="minor"/>
      </rPr>
      <t>(in Mio.)</t>
    </r>
  </si>
  <si>
    <r>
      <t xml:space="preserve">Implied EV </t>
    </r>
    <r>
      <rPr>
        <sz val="12"/>
        <color theme="1"/>
        <rFont val="Aptos Narrow"/>
        <scheme val="minor"/>
      </rPr>
      <t>(in Mio.)</t>
    </r>
  </si>
  <si>
    <t>OVERVIEW OF VALUATION METHODS</t>
  </si>
  <si>
    <t>FINAL BLENDED VALUATION</t>
  </si>
  <si>
    <t>Method</t>
  </si>
  <si>
    <t>Value per Share</t>
  </si>
  <si>
    <t>Implied Price</t>
  </si>
  <si>
    <t>Weight</t>
  </si>
  <si>
    <t>Weighted Value</t>
  </si>
  <si>
    <t>(sum of weighted values)</t>
  </si>
  <si>
    <t>SENSITIVITY SUMMARY</t>
  </si>
  <si>
    <t>ANALYST COMMENTARY</t>
  </si>
  <si>
    <t>SENSITIVITY ANALYSIS</t>
  </si>
  <si>
    <t>DCF SENSITIVITY (WACC x Terminal Growth)</t>
  </si>
  <si>
    <t>MULTIPLE SENSITIVITY (EV/EBITDA x EBITDA)</t>
  </si>
  <si>
    <t>G_input</t>
  </si>
  <si>
    <t>WACC_input</t>
  </si>
  <si>
    <t>Multiple_input</t>
  </si>
  <si>
    <t>EBITDA_input</t>
  </si>
  <si>
    <t>Fair Value per share</t>
  </si>
  <si>
    <t>DCF Sensitivity (WACC x g)</t>
  </si>
  <si>
    <t>Min Value</t>
  </si>
  <si>
    <t>Base Case Value</t>
  </si>
  <si>
    <t>Max Value</t>
  </si>
  <si>
    <t>Value Range</t>
  </si>
  <si>
    <t>Multiple Sensitivity (EV/EBITDA x EBITDA)</t>
  </si>
  <si>
    <r>
      <rPr>
        <b/>
        <sz val="12"/>
        <color theme="1"/>
        <rFont val="Aptos Narrow"/>
        <scheme val="minor"/>
      </rPr>
      <t>Read Me</t>
    </r>
    <r>
      <rPr>
        <sz val="12"/>
        <color theme="1"/>
        <rFont val="Aptos Narrow"/>
        <family val="2"/>
        <scheme val="minor"/>
      </rPr>
      <t xml:space="preserve"> - Model documentation</t>
    </r>
  </si>
  <si>
    <r>
      <rPr>
        <b/>
        <sz val="12"/>
        <color theme="1"/>
        <rFont val="Aptos Narrow"/>
        <scheme val="minor"/>
      </rPr>
      <t>Assumptions</t>
    </r>
    <r>
      <rPr>
        <sz val="12"/>
        <color theme="1"/>
        <rFont val="Aptos Narrow"/>
        <family val="2"/>
        <scheme val="minor"/>
      </rPr>
      <t xml:space="preserve"> - Key drivers and forecast inputs</t>
    </r>
  </si>
  <si>
    <r>
      <rPr>
        <b/>
        <sz val="12"/>
        <color theme="1"/>
        <rFont val="Aptos Narrow"/>
        <scheme val="minor"/>
      </rPr>
      <t>IS</t>
    </r>
    <r>
      <rPr>
        <sz val="12"/>
        <color theme="1"/>
        <rFont val="Aptos Narrow"/>
        <family val="2"/>
        <scheme val="minor"/>
      </rPr>
      <t xml:space="preserve"> - Income Statement (actuals + forecast)</t>
    </r>
  </si>
  <si>
    <r>
      <rPr>
        <b/>
        <sz val="12"/>
        <color theme="1"/>
        <rFont val="Aptos Narrow"/>
        <scheme val="minor"/>
      </rPr>
      <t>BS</t>
    </r>
    <r>
      <rPr>
        <sz val="12"/>
        <color theme="1"/>
        <rFont val="Aptos Narrow"/>
        <family val="2"/>
        <scheme val="minor"/>
      </rPr>
      <t xml:space="preserve"> - Balance Sheet</t>
    </r>
  </si>
  <si>
    <r>
      <rPr>
        <b/>
        <sz val="12"/>
        <color theme="1"/>
        <rFont val="Aptos Narrow"/>
        <scheme val="minor"/>
      </rPr>
      <t>CF</t>
    </r>
    <r>
      <rPr>
        <sz val="12"/>
        <color theme="1"/>
        <rFont val="Aptos Narrow"/>
        <family val="2"/>
        <scheme val="minor"/>
      </rPr>
      <t xml:space="preserve"> - Cash Flow Statement</t>
    </r>
  </si>
  <si>
    <r>
      <rPr>
        <b/>
        <sz val="12"/>
        <color theme="1"/>
        <rFont val="Aptos Narrow"/>
        <scheme val="minor"/>
      </rPr>
      <t>PP&amp;E</t>
    </r>
    <r>
      <rPr>
        <sz val="12"/>
        <color theme="1"/>
        <rFont val="Aptos Narrow"/>
        <family val="2"/>
        <scheme val="minor"/>
      </rPr>
      <t xml:space="preserve"> - Rollforward for CapEx &amp; D&amp;A tracking</t>
    </r>
  </si>
  <si>
    <r>
      <rPr>
        <b/>
        <sz val="12"/>
        <color theme="1"/>
        <rFont val="Aptos Narrow"/>
        <scheme val="minor"/>
      </rPr>
      <t>WC_Schedule</t>
    </r>
    <r>
      <rPr>
        <sz val="12"/>
        <color theme="1"/>
        <rFont val="Aptos Narrow"/>
        <family val="2"/>
        <scheme val="minor"/>
      </rPr>
      <t xml:space="preserve"> - Working Capital rollforward</t>
    </r>
  </si>
  <si>
    <r>
      <rPr>
        <b/>
        <sz val="12"/>
        <color theme="1"/>
        <rFont val="Aptos Narrow"/>
        <scheme val="minor"/>
      </rPr>
      <t>Securities</t>
    </r>
    <r>
      <rPr>
        <sz val="12"/>
        <color theme="1"/>
        <rFont val="Aptos Narrow"/>
        <family val="2"/>
        <scheme val="minor"/>
      </rPr>
      <t xml:space="preserve"> - Rollforward for Short-/Long-term marketable securities</t>
    </r>
  </si>
  <si>
    <r>
      <rPr>
        <b/>
        <sz val="12"/>
        <color theme="1"/>
        <rFont val="Aptos Narrow"/>
        <scheme val="minor"/>
      </rPr>
      <t>DCF</t>
    </r>
    <r>
      <rPr>
        <sz val="12"/>
        <color theme="1"/>
        <rFont val="Aptos Narrow"/>
        <family val="2"/>
        <scheme val="minor"/>
      </rPr>
      <t xml:space="preserve"> - Discounted Cash Flow valuation</t>
    </r>
  </si>
  <si>
    <r>
      <rPr>
        <b/>
        <sz val="12"/>
        <color theme="1"/>
        <rFont val="Aptos Narrow"/>
        <scheme val="minor"/>
      </rPr>
      <t>Comps</t>
    </r>
    <r>
      <rPr>
        <sz val="12"/>
        <color theme="1"/>
        <rFont val="Aptos Narrow"/>
        <family val="2"/>
        <scheme val="minor"/>
      </rPr>
      <t xml:space="preserve"> - Trading comps (multiples table)</t>
    </r>
  </si>
  <si>
    <r>
      <rPr>
        <b/>
        <sz val="12"/>
        <color theme="1"/>
        <rFont val="Aptos Narrow"/>
        <scheme val="minor"/>
      </rPr>
      <t>Sensitivity</t>
    </r>
    <r>
      <rPr>
        <sz val="12"/>
        <color theme="1"/>
        <rFont val="Aptos Narrow"/>
        <family val="2"/>
        <scheme val="minor"/>
      </rPr>
      <t xml:space="preserve"> - Key valuation sensitivities</t>
    </r>
  </si>
  <si>
    <r>
      <rPr>
        <b/>
        <sz val="12"/>
        <color theme="1"/>
        <rFont val="Aptos Narrow"/>
        <scheme val="minor"/>
      </rPr>
      <t>Valuation_Summary</t>
    </r>
    <r>
      <rPr>
        <sz val="12"/>
        <color theme="1"/>
        <rFont val="Aptos Narrow"/>
        <family val="2"/>
        <scheme val="minor"/>
      </rPr>
      <t xml:space="preserve"> - Consolidated output</t>
    </r>
  </si>
  <si>
    <t>Change between Base/Bull/Bear Scenarios using dropdown cell in Assumptions</t>
  </si>
  <si>
    <t>2025 20-F (published April 2026)</t>
  </si>
  <si>
    <t>Historical data directly tied to 20-F filings (2021-2025)</t>
  </si>
  <si>
    <t>Company filings: SEC 20-F (2021-2025)</t>
  </si>
  <si>
    <t>Revenue (FY1E) (in bln)</t>
  </si>
  <si>
    <t>EBITDA (FY1E)</t>
  </si>
  <si>
    <t>EV / EBITDA (FY1E)</t>
  </si>
  <si>
    <t>EV / EBIT (FY1E)</t>
  </si>
  <si>
    <t>EV / Sales (FY1E)</t>
  </si>
  <si>
    <t>EPS (FY1E)</t>
  </si>
  <si>
    <t>Final Valuation Weights</t>
  </si>
  <si>
    <t>Nvidia, AMD, Intel, Broadcom, Qualcomm</t>
  </si>
  <si>
    <t>9. Valuation Assumptions</t>
  </si>
  <si>
    <t>EV/EBIT</t>
  </si>
  <si>
    <t>EV/Sales</t>
  </si>
  <si>
    <t>Price/Book</t>
  </si>
  <si>
    <t>Forward P/E</t>
  </si>
  <si>
    <t>Final Fair Value per Common Share</t>
  </si>
  <si>
    <t>Final Fair Value per ADS</t>
  </si>
  <si>
    <t>Market data:  yahoo finance</t>
  </si>
  <si>
    <t>Income Statement forecast driven by revenue growth, margins &amp; expense ratios</t>
  </si>
  <si>
    <t xml:space="preserve">(e.g. intangibles, other non-current assets and liabilities, deposits, FX impacts and other non-operating items) that are not modeled individually. </t>
  </si>
  <si>
    <t xml:space="preserve">For historical periods the line is calculated automatically to ensure the model fully ties to reported cash balances. For forecast periods it is set </t>
  </si>
  <si>
    <r>
      <t xml:space="preserve">Update forecast assumptions only in </t>
    </r>
    <r>
      <rPr>
        <b/>
        <sz val="12"/>
        <color theme="1"/>
        <rFont val="Aptos Narrow"/>
        <scheme val="minor"/>
      </rPr>
      <t>Assumptions Tab</t>
    </r>
  </si>
  <si>
    <t>Iterative calculation enabled for cash / interest circularity</t>
  </si>
  <si>
    <r>
      <t xml:space="preserve">TSMC ( </t>
    </r>
    <r>
      <rPr>
        <i/>
        <sz val="12"/>
        <color theme="1"/>
        <rFont val="Aptos Narrow"/>
        <scheme val="minor"/>
      </rPr>
      <t>ADS</t>
    </r>
    <r>
      <rPr>
        <sz val="12"/>
        <color theme="1"/>
        <rFont val="Aptos Narrow"/>
        <scheme val="minor"/>
      </rPr>
      <t>)</t>
    </r>
  </si>
  <si>
    <t>Fair Value per common Share</t>
  </si>
  <si>
    <t>P/E (FY1E)</t>
  </si>
  <si>
    <t>R&amp;D as % of Revenue</t>
  </si>
  <si>
    <t>Yield on Cash &amp; Securities</t>
  </si>
  <si>
    <t>Long-term securities net purchases/sales (future)</t>
  </si>
  <si>
    <r>
      <t>Capital structure (</t>
    </r>
    <r>
      <rPr>
        <sz val="12"/>
        <color rgb="FF0070C0"/>
        <rFont val="Aptos Narrow (Body)"/>
      </rPr>
      <t>Debt</t>
    </r>
    <r>
      <rPr>
        <sz val="12"/>
        <color theme="1"/>
        <rFont val="Aptos Narrow"/>
        <family val="2"/>
        <scheme val="minor"/>
      </rPr>
      <t>/Equity)</t>
    </r>
  </si>
  <si>
    <t>Cash Flow auto-reconciles CFO + CFI + CFF</t>
  </si>
  <si>
    <t xml:space="preserve">The line item "Other Cash Flow Adjustments" reconciles residual cash movements that arise from changes in non-core balance sheet items </t>
  </si>
  <si>
    <t>Check "Balance Check" (BS) always returns 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</si>
</sst>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000&quot;E&quot;"/>
    <numFmt numFmtId="165" formatCode="0.0%"/>
    <numFmt numFmtId="166" formatCode="0.000%"/>
    <numFmt numFmtId="167" formatCode="#,##0.0"/>
    <numFmt numFmtId="168" formatCode="00\x"/>
    <numFmt numFmtId="169" formatCode="&quot;FY&quot;####&quot;E&quot;"/>
  </numFmts>
  <fonts count="17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  <font>
      <sz val="12"/>
      <color theme="2" tint="-0.249977111117893"/>
      <name val="Aptos Narrow"/>
      <family val="2"/>
      <scheme val="minor"/>
    </font>
    <font>
      <i/>
      <sz val="12"/>
      <color theme="2" tint="-0.249977111117893"/>
      <name val="Aptos Narrow"/>
      <scheme val="minor"/>
    </font>
    <font>
      <sz val="12"/>
      <color rgb="FF0070C0"/>
      <name val="Aptos Narrow"/>
      <family val="2"/>
      <scheme val="minor"/>
    </font>
    <font>
      <sz val="12"/>
      <color theme="0"/>
      <name val="Aptos Narrow"/>
      <family val="2"/>
      <scheme val="minor"/>
    </font>
    <font>
      <i/>
      <sz val="12"/>
      <color theme="1"/>
      <name val="Aptos Narrow"/>
      <scheme val="minor"/>
    </font>
    <font>
      <i/>
      <sz val="12"/>
      <color theme="0" tint="-0.14999847407452621"/>
      <name val="Aptos Narrow"/>
      <scheme val="minor"/>
    </font>
    <font>
      <sz val="8"/>
      <color theme="2"/>
      <name val="Aptos Narrow"/>
      <family val="2"/>
      <scheme val="minor"/>
    </font>
    <font>
      <sz val="12"/>
      <color rgb="FF0070C0"/>
      <name val="Aptos Narrow (Body)"/>
    </font>
    <font>
      <i/>
      <sz val="12"/>
      <color rgb="FF0070C0"/>
      <name val="Aptos Narrow"/>
      <scheme val="minor"/>
    </font>
    <font>
      <i/>
      <sz val="8"/>
      <color theme="1"/>
      <name val="Aptos Narrow"/>
      <scheme val="minor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sz val="12"/>
      <color theme="2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 style="thick">
        <color theme="9"/>
      </top>
      <bottom/>
      <diagonal/>
    </border>
    <border>
      <left/>
      <right/>
      <top/>
      <bottom style="thick">
        <color theme="9"/>
      </bottom>
      <diagonal/>
    </border>
    <border>
      <left/>
      <right style="double">
        <color auto="1"/>
      </right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 style="thin">
        <color rgb="FFFF0000"/>
      </right>
      <top/>
      <bottom style="thin">
        <color rgb="FFFF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164" fontId="2" fillId="0" borderId="0" xfId="0" applyNumberFormat="1" applyFont="1"/>
    <xf numFmtId="0" fontId="5" fillId="0" borderId="0" xfId="0" applyFont="1"/>
    <xf numFmtId="0" fontId="2" fillId="0" borderId="1" xfId="0" applyFont="1" applyBorder="1"/>
    <xf numFmtId="0" fontId="0" fillId="0" borderId="1" xfId="0" applyBorder="1"/>
    <xf numFmtId="0" fontId="5" fillId="0" borderId="2" xfId="0" applyFont="1" applyBorder="1"/>
    <xf numFmtId="0" fontId="0" fillId="0" borderId="2" xfId="0" applyBorder="1"/>
    <xf numFmtId="4" fontId="0" fillId="0" borderId="0" xfId="0" applyNumberFormat="1"/>
    <xf numFmtId="9" fontId="0" fillId="0" borderId="0" xfId="1" applyFont="1"/>
    <xf numFmtId="4" fontId="6" fillId="0" borderId="0" xfId="0" applyNumberFormat="1" applyFont="1"/>
    <xf numFmtId="0" fontId="6" fillId="0" borderId="0" xfId="0" applyFont="1"/>
    <xf numFmtId="2" fontId="6" fillId="0" borderId="0" xfId="0" applyNumberFormat="1" applyFont="1"/>
    <xf numFmtId="0" fontId="2" fillId="2" borderId="0" xfId="0" applyFont="1" applyFill="1"/>
    <xf numFmtId="0" fontId="0" fillId="2" borderId="0" xfId="0" applyFill="1"/>
    <xf numFmtId="0" fontId="0" fillId="0" borderId="0" xfId="0" applyAlignment="1">
      <alignment horizontal="left" indent="3"/>
    </xf>
    <xf numFmtId="0" fontId="3" fillId="0" borderId="0" xfId="0" applyFont="1" applyAlignment="1">
      <alignment horizontal="left" indent="3"/>
    </xf>
    <xf numFmtId="0" fontId="8" fillId="0" borderId="0" xfId="0" applyFont="1"/>
    <xf numFmtId="0" fontId="9" fillId="0" borderId="0" xfId="0" applyFont="1"/>
    <xf numFmtId="4" fontId="6" fillId="2" borderId="0" xfId="0" applyNumberFormat="1" applyFont="1" applyFill="1"/>
    <xf numFmtId="3" fontId="9" fillId="0" borderId="0" xfId="0" applyNumberFormat="1" applyFont="1"/>
    <xf numFmtId="0" fontId="0" fillId="0" borderId="0" xfId="0" quotePrefix="1" applyAlignment="1">
      <alignment horizontal="left" indent="3"/>
    </xf>
    <xf numFmtId="4" fontId="0" fillId="2" borderId="0" xfId="0" applyNumberFormat="1" applyFill="1"/>
    <xf numFmtId="0" fontId="0" fillId="0" borderId="0" xfId="0" applyAlignment="1">
      <alignment horizontal="left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vertical="top"/>
    </xf>
    <xf numFmtId="0" fontId="2" fillId="0" borderId="0" xfId="0" applyFont="1" applyAlignment="1">
      <alignment horizontal="left"/>
    </xf>
    <xf numFmtId="0" fontId="0" fillId="0" borderId="0" xfId="0" applyAlignment="1">
      <alignment horizontal="left" indent="6"/>
    </xf>
    <xf numFmtId="0" fontId="2" fillId="0" borderId="0" xfId="0" applyFont="1" applyAlignment="1">
      <alignment horizontal="right"/>
    </xf>
    <xf numFmtId="165" fontId="6" fillId="0" borderId="0" xfId="1" applyNumberFormat="1" applyFont="1"/>
    <xf numFmtId="0" fontId="3" fillId="0" borderId="0" xfId="0" applyFont="1" applyAlignment="1">
      <alignment horizontal="left" indent="6"/>
    </xf>
    <xf numFmtId="0" fontId="7" fillId="0" borderId="0" xfId="0" applyFont="1"/>
    <xf numFmtId="0" fontId="10" fillId="0" borderId="2" xfId="0" applyFont="1" applyBorder="1" applyAlignment="1">
      <alignment vertical="top"/>
    </xf>
    <xf numFmtId="0" fontId="12" fillId="0" borderId="2" xfId="0" applyFont="1" applyBorder="1"/>
    <xf numFmtId="164" fontId="0" fillId="0" borderId="0" xfId="0" applyNumberFormat="1"/>
    <xf numFmtId="165" fontId="0" fillId="0" borderId="0" xfId="0" applyNumberFormat="1"/>
    <xf numFmtId="165" fontId="0" fillId="0" borderId="0" xfId="1" applyNumberFormat="1" applyFont="1"/>
    <xf numFmtId="0" fontId="2" fillId="0" borderId="3" xfId="0" applyFont="1" applyBorder="1"/>
    <xf numFmtId="4" fontId="0" fillId="0" borderId="3" xfId="0" applyNumberFormat="1" applyBorder="1"/>
    <xf numFmtId="0" fontId="0" fillId="0" borderId="3" xfId="0" applyBorder="1"/>
    <xf numFmtId="0" fontId="6" fillId="0" borderId="3" xfId="0" applyFont="1" applyBorder="1"/>
    <xf numFmtId="10" fontId="0" fillId="0" borderId="0" xfId="1" applyNumberFormat="1" applyFont="1"/>
    <xf numFmtId="166" fontId="0" fillId="0" borderId="0" xfId="1" applyNumberFormat="1" applyFont="1"/>
    <xf numFmtId="166" fontId="0" fillId="0" borderId="0" xfId="0" applyNumberFormat="1"/>
    <xf numFmtId="0" fontId="0" fillId="0" borderId="0" xfId="0" quotePrefix="1"/>
    <xf numFmtId="0" fontId="2" fillId="0" borderId="0" xfId="0" quotePrefix="1" applyFont="1"/>
    <xf numFmtId="2" fontId="0" fillId="0" borderId="0" xfId="0" applyNumberFormat="1"/>
    <xf numFmtId="2" fontId="2" fillId="0" borderId="0" xfId="0" applyNumberFormat="1" applyFont="1"/>
    <xf numFmtId="4" fontId="2" fillId="0" borderId="0" xfId="0" applyNumberFormat="1" applyFont="1"/>
    <xf numFmtId="4" fontId="0" fillId="2" borderId="3" xfId="0" applyNumberFormat="1" applyFill="1" applyBorder="1"/>
    <xf numFmtId="4" fontId="6" fillId="0" borderId="3" xfId="0" applyNumberFormat="1" applyFont="1" applyBorder="1"/>
    <xf numFmtId="167" fontId="0" fillId="0" borderId="0" xfId="0" applyNumberFormat="1"/>
    <xf numFmtId="10" fontId="0" fillId="0" borderId="0" xfId="0" applyNumberFormat="1"/>
    <xf numFmtId="9" fontId="2" fillId="0" borderId="0" xfId="1" applyFont="1"/>
    <xf numFmtId="0" fontId="13" fillId="0" borderId="0" xfId="0" applyFont="1" applyAlignment="1">
      <alignment vertical="top"/>
    </xf>
    <xf numFmtId="0" fontId="0" fillId="0" borderId="4" xfId="0" applyBorder="1"/>
    <xf numFmtId="0" fontId="0" fillId="0" borderId="5" xfId="0" applyBorder="1"/>
    <xf numFmtId="0" fontId="16" fillId="0" borderId="0" xfId="0" applyFont="1"/>
    <xf numFmtId="168" fontId="2" fillId="0" borderId="0" xfId="0" applyNumberFormat="1" applyFont="1"/>
    <xf numFmtId="9" fontId="16" fillId="0" borderId="0" xfId="0" applyNumberFormat="1" applyFont="1"/>
    <xf numFmtId="0" fontId="0" fillId="0" borderId="0" xfId="0" applyAlignment="1">
      <alignment horizontal="centerContinuous" wrapText="1"/>
    </xf>
    <xf numFmtId="169" fontId="0" fillId="0" borderId="0" xfId="0" applyNumberFormat="1"/>
    <xf numFmtId="10" fontId="0" fillId="0" borderId="0" xfId="1" applyNumberFormat="1" applyFont="1" applyFill="1"/>
    <xf numFmtId="14" fontId="0" fillId="0" borderId="0" xfId="0" applyNumberFormat="1"/>
  </cellXfs>
  <cellStyles count="2">
    <cellStyle name="Normal" xfId="0" builtinId="0"/>
    <cellStyle name="Percent" xfId="1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45</xdr:row>
      <xdr:rowOff>81280</xdr:rowOff>
    </xdr:from>
    <xdr:to>
      <xdr:col>11</xdr:col>
      <xdr:colOff>721360</xdr:colOff>
      <xdr:row>50</xdr:row>
      <xdr:rowOff>135467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8C2F3A7-4F41-544E-534C-D29F6343DFAC}"/>
            </a:ext>
          </a:extLst>
        </xdr:cNvPr>
        <xdr:cNvSpPr txBox="1"/>
      </xdr:nvSpPr>
      <xdr:spPr>
        <a:xfrm>
          <a:off x="254000" y="9394613"/>
          <a:ext cx="11660293" cy="1070187"/>
        </a:xfrm>
        <a:prstGeom prst="rect">
          <a:avLst/>
        </a:prstGeom>
        <a:solidFill>
          <a:schemeClr val="bg1">
            <a:alpha val="56579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/>
            <a:t>The base case assumes strong near-term growth, with revenue increasing 41% in 2026E and gross margin reaching 66%, supported by continued leading-edge demand, while elevated CapEx of c. $62bn reflects the ongoing capacity expansion. The DCF yields a conservative fair value of $53.63 per common share, primarily due to a 10.0% WACC and high reinvestment requirements. Relative valuation methods show a wider range, with P/E and EV/Sales producing values closer to the current market valuation, while EV/EBITDA and especially EV/EBIT imply materially higher values due to significant peer-multiple and profitability dispersion. Accordingly, the blended valuation places the greatest weight on DCF and forward P/E and results in an estimated fair value of $77.03 per common share, or approximately $385 per ADS.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Janis Fischer" id="{7B5C9752-BC50-CB43-AE99-812FDCC92661}" userId="def388923d467eb6" providerId="Windows Liv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9" dT="2025-11-20T18:31:24.85" personId="{7B5C9752-BC50-CB43-AE99-812FDCC92661}" id="{D0EF1B39-1BF7-7A4D-9039-415053C55101}">
    <text>- Financial assets at fair value through profit or loss
- Financial assets at FVOCI
- Financial assets at amortized cost
- Hedging financial assets</text>
  </threadedComment>
  <threadedComment ref="B10" dT="2025-11-20T18:32:11.39" personId="{7B5C9752-BC50-CB43-AE99-812FDCC92661}" id="{D375EC21-A502-4E44-B520-FB37C412F30F}">
    <text>- Notes and accounts receivable, net
- Receivables from related parties
- Other receivables</text>
  </threadedComment>
  <threadedComment ref="B12" dT="2025-11-20T18:32:34.33" personId="{7B5C9752-BC50-CB43-AE99-812FDCC92661}" id="{E1AAC333-0A81-E74C-B24A-DB52984EDA1A}">
    <text>- Other financial assets
- Other current assets</text>
  </threadedComment>
  <threadedComment ref="B18" dT="2025-11-20T18:33:24.16" personId="{7B5C9752-BC50-CB43-AE99-812FDCC92661}" id="{0128747E-DC19-8147-B65F-CA65B43D7A6F}">
    <text>- Financial assets at FVOCI
- Financial assets at amortized cost</text>
  </threadedComment>
  <threadedComment ref="B19" dT="2025-11-20T18:34:34.13" personId="{7B5C9752-BC50-CB43-AE99-812FDCC92661}" id="{5F980403-1AD7-5D47-AAC3-6B937820DBAE}">
    <text>- Investments accounted for using equity method
- right-of-use assets
- Deferred income tax assets
- Refundable deposits
- Other noncurrent assets</text>
  </threadedComment>
  <threadedComment ref="B26" dT="2025-11-20T18:39:22.70" personId="{7B5C9752-BC50-CB43-AE99-812FDCC92661}" id="{54534C06-D519-2F4D-892E-2CB096AE3C23}">
    <text>- Short-term loans
- Long-term liabilities - current portion</text>
  </threadedComment>
  <threadedComment ref="B27" dT="2025-11-20T18:40:27.33" personId="{7B5C9752-BC50-CB43-AE99-812FDCC92661}" id="{F47A2AE6-AA04-F848-8AEB-733572DC9B7A}">
    <text>- Accounts payable
- Payables to related parties
- Payables to contractors and equipment suppliers</text>
  </threadedComment>
  <threadedComment ref="B28" dT="2025-11-20T18:41:20.04" personId="{7B5C9752-BC50-CB43-AE99-812FDCC92661}" id="{97941DDF-3ADB-724F-9EB6-54E462F7FD3D}">
    <text>- Salary and bonuses payable
- Accrued profit sharing bonus
- Accrued expenses and other current liabilities</text>
  </threadedComment>
  <threadedComment ref="B29" dT="2025-11-20T18:42:29.81" personId="{7B5C9752-BC50-CB43-AE99-812FDCC92661}" id="{E88BA502-9783-0A47-8586-90806B7D2567}">
    <text>- Financial liabilities at fair value through P&amp;L
- Hedging financial liabilities
- Cash dividends payable
- Income tax payable</text>
  </threadedComment>
  <threadedComment ref="B33" dT="2025-11-20T18:43:27.37" personId="{7B5C9752-BC50-CB43-AE99-812FDCC92661}" id="{A5585420-7A75-0144-97CA-322579E055FA}">
    <text>- Bonds payable
- Long-term bank loans</text>
  </threadedComment>
  <threadedComment ref="B36" dT="2025-11-20T18:44:34.13" personId="{7B5C9752-BC50-CB43-AE99-812FDCC92661}" id="{B328C2C7-234D-344B-A91A-55343B1BA91F}">
    <text xml:space="preserve">- Net defined benefit liability
- Guarantee deposits
- Others
</text>
  </threadedComment>
  <threadedComment ref="B42" dT="2025-11-20T18:46:15.64" personId="{7B5C9752-BC50-CB43-AE99-812FDCC92661}" id="{17C49102-B928-664F-9F39-D81CD3434C67}">
    <text xml:space="preserve">Capital stock
</text>
  </threadedComment>
  <threadedComment ref="B43" dT="2025-11-20T18:46:29.28" personId="{7B5C9752-BC50-CB43-AE99-812FDCC92661}" id="{DD258E58-7045-314E-8487-EE6B3872A42A}">
    <text>Capital surplus</text>
  </threadedComment>
  <threadedComment ref="B44" dT="2025-11-20T18:47:04.62" personId="{7B5C9752-BC50-CB43-AE99-812FDCC92661}" id="{B21697D2-E1D3-9941-9D53-90F15E407537}">
    <text>- Legal capital reserve
- Special capital reserve
- Unappropiated earnings</text>
  </threadedComment>
</ThreadedComments>
</file>

<file path=xl/worksheets/_rels/sheet4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162BC-99E2-714A-B2D1-5E64354EA4DB}">
  <dimension ref="A1:L74"/>
  <sheetViews>
    <sheetView tabSelected="1" zoomScaleNormal="100" workbookViewId="0"/>
  </sheetViews>
  <sheetFormatPr baseColWidth="10" defaultRowHeight="16" x14ac:dyDescent="0.2"/>
  <cols>
    <col min="1" max="1" width="3.33203125" customWidth="1"/>
    <col min="2" max="2" width="19.83203125" customWidth="1"/>
  </cols>
  <sheetData>
    <row r="1" spans="1:12" ht="17" thickBot="1" x14ac:dyDescent="0.25"/>
    <row r="2" spans="1:12" ht="17" thickTop="1" x14ac:dyDescent="0.2">
      <c r="B2" s="6" t="s">
        <v>117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17" thickBot="1" x14ac:dyDescent="0.25">
      <c r="B3" s="8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17" thickTop="1" x14ac:dyDescent="0.2"/>
    <row r="5" spans="1:12" x14ac:dyDescent="0.2">
      <c r="B5" s="1" t="s">
        <v>143</v>
      </c>
    </row>
    <row r="6" spans="1:12" x14ac:dyDescent="0.2">
      <c r="B6" t="s">
        <v>144</v>
      </c>
      <c r="C6" s="65">
        <v>46248</v>
      </c>
    </row>
    <row r="7" spans="1:12" x14ac:dyDescent="0.2">
      <c r="B7" t="s">
        <v>145</v>
      </c>
      <c r="C7" s="65">
        <v>46248</v>
      </c>
    </row>
    <row r="8" spans="1:12" x14ac:dyDescent="0.2">
      <c r="B8" t="s">
        <v>146</v>
      </c>
      <c r="C8" t="s">
        <v>318</v>
      </c>
    </row>
    <row r="9" spans="1:12" x14ac:dyDescent="0.2">
      <c r="B9" t="s">
        <v>147</v>
      </c>
      <c r="C9" t="s">
        <v>148</v>
      </c>
    </row>
    <row r="10" spans="1:12" x14ac:dyDescent="0.2">
      <c r="B10" t="s">
        <v>149</v>
      </c>
      <c r="C10" s="63">
        <v>2026</v>
      </c>
    </row>
    <row r="11" spans="1:12" ht="17" thickBot="1" x14ac:dyDescent="0.25"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17" thickTop="1" x14ac:dyDescent="0.2"/>
    <row r="13" spans="1:12" x14ac:dyDescent="0.2">
      <c r="A13" t="s">
        <v>210</v>
      </c>
      <c r="B13" s="1" t="s">
        <v>119</v>
      </c>
    </row>
    <row r="14" spans="1:12" x14ac:dyDescent="0.2">
      <c r="B14" s="17" t="s">
        <v>120</v>
      </c>
    </row>
    <row r="15" spans="1:12" x14ac:dyDescent="0.2">
      <c r="B15" s="17" t="s">
        <v>121</v>
      </c>
    </row>
    <row r="16" spans="1:12" x14ac:dyDescent="0.2">
      <c r="B16" s="17" t="s">
        <v>122</v>
      </c>
    </row>
    <row r="17" spans="1:12" ht="17" thickBot="1" x14ac:dyDescent="0.25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2" ht="17" thickTop="1" x14ac:dyDescent="0.2"/>
    <row r="19" spans="1:12" x14ac:dyDescent="0.2">
      <c r="A19" t="s">
        <v>210</v>
      </c>
      <c r="B19" s="28" t="s">
        <v>123</v>
      </c>
    </row>
    <row r="20" spans="1:12" x14ac:dyDescent="0.2">
      <c r="B20" s="18" t="s">
        <v>305</v>
      </c>
    </row>
    <row r="21" spans="1:12" x14ac:dyDescent="0.2">
      <c r="B21" s="18" t="s">
        <v>306</v>
      </c>
    </row>
    <row r="22" spans="1:12" x14ac:dyDescent="0.2">
      <c r="B22" s="18" t="s">
        <v>307</v>
      </c>
    </row>
    <row r="23" spans="1:12" x14ac:dyDescent="0.2">
      <c r="B23" s="18" t="s">
        <v>308</v>
      </c>
    </row>
    <row r="24" spans="1:12" x14ac:dyDescent="0.2">
      <c r="B24" s="18" t="s">
        <v>309</v>
      </c>
    </row>
    <row r="25" spans="1:12" x14ac:dyDescent="0.2">
      <c r="B25" s="18" t="s">
        <v>310</v>
      </c>
    </row>
    <row r="26" spans="1:12" x14ac:dyDescent="0.2">
      <c r="B26" s="18" t="s">
        <v>311</v>
      </c>
    </row>
    <row r="27" spans="1:12" x14ac:dyDescent="0.2">
      <c r="B27" s="18" t="s">
        <v>312</v>
      </c>
    </row>
    <row r="28" spans="1:12" x14ac:dyDescent="0.2">
      <c r="B28" s="18" t="s">
        <v>313</v>
      </c>
    </row>
    <row r="29" spans="1:12" x14ac:dyDescent="0.2">
      <c r="B29" s="18" t="s">
        <v>314</v>
      </c>
    </row>
    <row r="30" spans="1:12" x14ac:dyDescent="0.2">
      <c r="B30" s="18" t="s">
        <v>315</v>
      </c>
    </row>
    <row r="31" spans="1:12" x14ac:dyDescent="0.2">
      <c r="B31" s="18" t="s">
        <v>316</v>
      </c>
    </row>
    <row r="32" spans="1:12" ht="17" thickBot="1" x14ac:dyDescent="0.25"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ht="17" thickTop="1" x14ac:dyDescent="0.2"/>
    <row r="34" spans="1:12" x14ac:dyDescent="0.2">
      <c r="A34" t="s">
        <v>210</v>
      </c>
      <c r="B34" s="28" t="s">
        <v>124</v>
      </c>
    </row>
    <row r="35" spans="1:12" x14ac:dyDescent="0.2">
      <c r="B35" s="17" t="s">
        <v>125</v>
      </c>
    </row>
    <row r="36" spans="1:12" x14ac:dyDescent="0.2">
      <c r="B36" s="17" t="s">
        <v>126</v>
      </c>
    </row>
    <row r="37" spans="1:12" x14ac:dyDescent="0.2">
      <c r="B37" s="17" t="s">
        <v>127</v>
      </c>
    </row>
    <row r="38" spans="1:12" x14ac:dyDescent="0.2">
      <c r="B38" s="17" t="s">
        <v>341</v>
      </c>
    </row>
    <row r="39" spans="1:12" x14ac:dyDescent="0.2">
      <c r="B39" s="17" t="s">
        <v>319</v>
      </c>
    </row>
    <row r="40" spans="1:12" x14ac:dyDescent="0.2">
      <c r="B40" s="17" t="s">
        <v>128</v>
      </c>
    </row>
    <row r="41" spans="1:12" ht="17" thickBot="1" x14ac:dyDescent="0.25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7" thickTop="1" x14ac:dyDescent="0.2"/>
    <row r="43" spans="1:12" x14ac:dyDescent="0.2">
      <c r="A43" t="s">
        <v>210</v>
      </c>
      <c r="B43" s="1" t="s">
        <v>129</v>
      </c>
    </row>
    <row r="44" spans="1:12" x14ac:dyDescent="0.2">
      <c r="B44" s="17" t="s">
        <v>320</v>
      </c>
    </row>
    <row r="45" spans="1:12" x14ac:dyDescent="0.2">
      <c r="B45" s="17" t="s">
        <v>130</v>
      </c>
    </row>
    <row r="46" spans="1:12" x14ac:dyDescent="0.2">
      <c r="B46" s="17" t="s">
        <v>336</v>
      </c>
    </row>
    <row r="47" spans="1:12" ht="17" thickBot="1" x14ac:dyDescent="0.25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ht="17" thickTop="1" x14ac:dyDescent="0.2"/>
    <row r="49" spans="1:12" x14ac:dyDescent="0.2">
      <c r="A49" t="s">
        <v>210</v>
      </c>
      <c r="B49" s="1" t="s">
        <v>131</v>
      </c>
    </row>
    <row r="50" spans="1:12" x14ac:dyDescent="0.2">
      <c r="B50" s="17" t="s">
        <v>337</v>
      </c>
    </row>
    <row r="51" spans="1:12" x14ac:dyDescent="0.2">
      <c r="B51" s="17" t="s">
        <v>132</v>
      </c>
    </row>
    <row r="52" spans="1:12" x14ac:dyDescent="0.2">
      <c r="B52" s="17" t="s">
        <v>349</v>
      </c>
    </row>
    <row r="53" spans="1:12" x14ac:dyDescent="0.2">
      <c r="B53" s="17" t="s">
        <v>118</v>
      </c>
    </row>
    <row r="54" spans="1:12" x14ac:dyDescent="0.2">
      <c r="B54" s="29" t="s">
        <v>350</v>
      </c>
      <c r="C54" s="29"/>
      <c r="D54" s="29"/>
      <c r="E54" s="29"/>
      <c r="F54" s="29"/>
      <c r="G54" s="29"/>
      <c r="H54" s="29"/>
      <c r="I54" s="29"/>
      <c r="J54" s="29"/>
      <c r="K54" s="29"/>
      <c r="L54" s="29"/>
    </row>
    <row r="55" spans="1:12" x14ac:dyDescent="0.2">
      <c r="B55" s="29" t="s">
        <v>338</v>
      </c>
      <c r="C55" s="29"/>
      <c r="D55" s="29"/>
      <c r="E55" s="29"/>
      <c r="F55" s="29"/>
      <c r="G55" s="29"/>
      <c r="H55" s="29"/>
      <c r="I55" s="29"/>
      <c r="J55" s="29"/>
      <c r="K55" s="29"/>
      <c r="L55" s="29"/>
    </row>
    <row r="56" spans="1:12" x14ac:dyDescent="0.2">
      <c r="B56" s="29" t="s">
        <v>339</v>
      </c>
      <c r="C56" s="29"/>
      <c r="D56" s="29"/>
      <c r="E56" s="29"/>
      <c r="F56" s="29"/>
      <c r="G56" s="29"/>
      <c r="H56" s="29"/>
      <c r="I56" s="29"/>
      <c r="J56" s="29"/>
      <c r="K56" s="29"/>
      <c r="L56" s="29"/>
    </row>
    <row r="57" spans="1:12" x14ac:dyDescent="0.2">
      <c r="B57" s="29" t="s">
        <v>141</v>
      </c>
      <c r="C57" s="29"/>
      <c r="D57" s="29"/>
      <c r="E57" s="29"/>
      <c r="F57" s="29"/>
      <c r="G57" s="29"/>
      <c r="H57" s="29"/>
      <c r="I57" s="29"/>
      <c r="J57" s="29"/>
      <c r="K57" s="29"/>
      <c r="L57" s="29"/>
    </row>
    <row r="58" spans="1:12" ht="17" thickBot="1" x14ac:dyDescent="0.25"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ht="17" thickTop="1" x14ac:dyDescent="0.2"/>
    <row r="60" spans="1:12" x14ac:dyDescent="0.2">
      <c r="A60" t="s">
        <v>210</v>
      </c>
      <c r="B60" s="1" t="s">
        <v>133</v>
      </c>
    </row>
    <row r="61" spans="1:12" x14ac:dyDescent="0.2">
      <c r="B61" s="17" t="s">
        <v>340</v>
      </c>
    </row>
    <row r="62" spans="1:12" x14ac:dyDescent="0.2">
      <c r="B62" s="17" t="s">
        <v>134</v>
      </c>
    </row>
    <row r="63" spans="1:12" x14ac:dyDescent="0.2">
      <c r="B63" s="17" t="s">
        <v>135</v>
      </c>
    </row>
    <row r="64" spans="1:12" x14ac:dyDescent="0.2">
      <c r="B64" s="17" t="s">
        <v>351</v>
      </c>
    </row>
    <row r="65" spans="1:12" x14ac:dyDescent="0.2">
      <c r="B65" s="17" t="s">
        <v>317</v>
      </c>
    </row>
    <row r="66" spans="1:12" ht="17" thickBot="1" x14ac:dyDescent="0.25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ht="17" thickTop="1" x14ac:dyDescent="0.2"/>
    <row r="68" spans="1:12" x14ac:dyDescent="0.2">
      <c r="A68" t="s">
        <v>210</v>
      </c>
      <c r="B68" s="1" t="s">
        <v>136</v>
      </c>
    </row>
    <row r="69" spans="1:12" x14ac:dyDescent="0.2">
      <c r="B69" s="17" t="s">
        <v>137</v>
      </c>
    </row>
    <row r="70" spans="1:12" x14ac:dyDescent="0.2">
      <c r="B70" s="17" t="s">
        <v>138</v>
      </c>
    </row>
    <row r="71" spans="1:12" x14ac:dyDescent="0.2">
      <c r="B71" s="17" t="s">
        <v>139</v>
      </c>
    </row>
    <row r="72" spans="1:12" x14ac:dyDescent="0.2">
      <c r="B72" s="17" t="s">
        <v>140</v>
      </c>
    </row>
    <row r="73" spans="1:12" ht="17" thickBot="1" x14ac:dyDescent="0.25"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ht="17" thickTop="1" x14ac:dyDescent="0.2"/>
  </sheetData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60B5F-CB63-F54A-BD6E-02A9325CF922}">
  <dimension ref="A1:I87"/>
  <sheetViews>
    <sheetView zoomScaleNormal="100" workbookViewId="0"/>
  </sheetViews>
  <sheetFormatPr baseColWidth="10" defaultRowHeight="16" outlineLevelRow="1" x14ac:dyDescent="0.2"/>
  <cols>
    <col min="1" max="1" width="3.33203125" customWidth="1"/>
    <col min="2" max="2" width="47" customWidth="1"/>
  </cols>
  <sheetData>
    <row r="1" spans="1:9" ht="17" thickBot="1" x14ac:dyDescent="0.25"/>
    <row r="2" spans="1:9" ht="17" thickTop="1" x14ac:dyDescent="0.2">
      <c r="B2" s="6" t="s">
        <v>142</v>
      </c>
      <c r="C2" s="7"/>
      <c r="D2" s="7"/>
      <c r="E2" s="7"/>
      <c r="F2" s="7"/>
      <c r="G2" s="7"/>
      <c r="H2" s="7"/>
      <c r="I2" s="33" t="s">
        <v>187</v>
      </c>
    </row>
    <row r="3" spans="1:9" ht="17" thickBot="1" x14ac:dyDescent="0.25">
      <c r="B3" s="8" t="s">
        <v>184</v>
      </c>
      <c r="C3" s="35" t="s">
        <v>187</v>
      </c>
      <c r="D3" s="9"/>
      <c r="E3" s="9"/>
      <c r="F3" s="9"/>
      <c r="G3" s="9"/>
      <c r="H3" s="9"/>
      <c r="I3" s="33" t="s">
        <v>188</v>
      </c>
    </row>
    <row r="4" spans="1:9" ht="17" thickTop="1" x14ac:dyDescent="0.2">
      <c r="I4" s="33" t="s">
        <v>189</v>
      </c>
    </row>
    <row r="5" spans="1:9" x14ac:dyDescent="0.2">
      <c r="C5" s="4">
        <f>_xlfn.NUMBERVALUE(ReadMe!$C$10)</f>
        <v>2026</v>
      </c>
      <c r="D5" s="4">
        <f>C5+1</f>
        <v>2027</v>
      </c>
      <c r="E5" s="4">
        <f t="shared" ref="E5:G5" si="0">D5+1</f>
        <v>2028</v>
      </c>
      <c r="F5" s="4">
        <f t="shared" si="0"/>
        <v>2029</v>
      </c>
      <c r="G5" s="4">
        <f t="shared" si="0"/>
        <v>2030</v>
      </c>
      <c r="H5" s="30" t="s">
        <v>172</v>
      </c>
    </row>
    <row r="6" spans="1:9" x14ac:dyDescent="0.2">
      <c r="A6" t="s">
        <v>210</v>
      </c>
      <c r="B6" s="1" t="s">
        <v>150</v>
      </c>
    </row>
    <row r="7" spans="1:9" x14ac:dyDescent="0.2">
      <c r="B7" s="17" t="s">
        <v>173</v>
      </c>
      <c r="C7" s="31">
        <v>0.41</v>
      </c>
      <c r="D7" s="31">
        <v>0.19</v>
      </c>
      <c r="E7" s="31">
        <v>0.16</v>
      </c>
      <c r="F7" s="31">
        <v>0.14000000000000001</v>
      </c>
      <c r="G7" s="31">
        <v>0.12</v>
      </c>
      <c r="H7" s="31">
        <v>0.03</v>
      </c>
    </row>
    <row r="8" spans="1:9" x14ac:dyDescent="0.2">
      <c r="B8" s="17" t="s">
        <v>175</v>
      </c>
      <c r="C8" s="31">
        <v>0.25</v>
      </c>
      <c r="D8" s="31">
        <v>0.11</v>
      </c>
      <c r="E8" s="31">
        <v>0.09</v>
      </c>
      <c r="F8" s="31">
        <v>0.08</v>
      </c>
      <c r="G8" s="31">
        <v>7.0000000000000007E-2</v>
      </c>
      <c r="H8" s="31">
        <v>0.02</v>
      </c>
    </row>
    <row r="9" spans="1:9" x14ac:dyDescent="0.2">
      <c r="B9" s="17" t="s">
        <v>174</v>
      </c>
      <c r="C9" s="31">
        <v>0.16</v>
      </c>
      <c r="D9" s="31">
        <v>0.08</v>
      </c>
      <c r="E9" s="31">
        <v>7.0000000000000007E-2</v>
      </c>
      <c r="F9" s="31">
        <v>0.06</v>
      </c>
      <c r="G9" s="31">
        <v>0.05</v>
      </c>
      <c r="H9" s="31">
        <v>0.01</v>
      </c>
    </row>
    <row r="10" spans="1:9" ht="17" thickBot="1" x14ac:dyDescent="0.25">
      <c r="B10" s="8"/>
      <c r="C10" s="34" t="b">
        <f t="shared" ref="C10:H10" si="1">C7=(C8+C9)</f>
        <v>1</v>
      </c>
      <c r="D10" s="34" t="b">
        <f t="shared" si="1"/>
        <v>1</v>
      </c>
      <c r="E10" s="34" t="b">
        <f t="shared" si="1"/>
        <v>1</v>
      </c>
      <c r="F10" s="34" t="b">
        <f t="shared" si="1"/>
        <v>1</v>
      </c>
      <c r="G10" s="34" t="b">
        <f t="shared" si="1"/>
        <v>1</v>
      </c>
      <c r="H10" s="34" t="b">
        <f t="shared" si="1"/>
        <v>1</v>
      </c>
    </row>
    <row r="11" spans="1:9" ht="17" thickTop="1" x14ac:dyDescent="0.2"/>
    <row r="12" spans="1:9" x14ac:dyDescent="0.2">
      <c r="A12" t="s">
        <v>210</v>
      </c>
      <c r="B12" s="1" t="s">
        <v>151</v>
      </c>
    </row>
    <row r="13" spans="1:9" x14ac:dyDescent="0.2">
      <c r="B13" s="17" t="s">
        <v>3</v>
      </c>
      <c r="C13" s="31">
        <v>0.66</v>
      </c>
      <c r="D13" s="31">
        <v>0.64</v>
      </c>
      <c r="E13" s="31">
        <v>0.62</v>
      </c>
      <c r="F13" s="31">
        <v>0.6</v>
      </c>
      <c r="G13" s="31">
        <v>0.59</v>
      </c>
      <c r="H13" s="31">
        <v>0.56999999999999995</v>
      </c>
    </row>
    <row r="14" spans="1:9" x14ac:dyDescent="0.2">
      <c r="B14" s="17" t="s">
        <v>345</v>
      </c>
      <c r="C14" s="31">
        <v>0.06</v>
      </c>
      <c r="D14" s="31">
        <v>0.06</v>
      </c>
      <c r="E14" s="31">
        <v>0.06</v>
      </c>
      <c r="F14" s="31">
        <v>0.06</v>
      </c>
      <c r="G14" s="31">
        <v>0.06</v>
      </c>
      <c r="H14" s="31"/>
    </row>
    <row r="15" spans="1:9" x14ac:dyDescent="0.2">
      <c r="B15" s="17" t="s">
        <v>152</v>
      </c>
      <c r="C15" s="31">
        <v>2.1999999999999999E-2</v>
      </c>
      <c r="D15" s="31">
        <v>2.1999999999999999E-2</v>
      </c>
      <c r="E15" s="31">
        <v>2.1999999999999999E-2</v>
      </c>
      <c r="F15" s="31">
        <v>2.1999999999999999E-2</v>
      </c>
      <c r="G15" s="31">
        <v>2.1999999999999999E-2</v>
      </c>
      <c r="H15" s="31"/>
    </row>
    <row r="16" spans="1:9" x14ac:dyDescent="0.2">
      <c r="B16" s="17" t="s">
        <v>176</v>
      </c>
      <c r="C16" s="31">
        <v>1E-3</v>
      </c>
      <c r="D16" s="31">
        <v>1E-3</v>
      </c>
      <c r="E16" s="31">
        <v>1E-3</v>
      </c>
      <c r="F16" s="31">
        <v>1E-3</v>
      </c>
      <c r="G16" s="31">
        <v>1E-3</v>
      </c>
      <c r="H16" s="31"/>
    </row>
    <row r="17" spans="1:8" ht="17" thickBot="1" x14ac:dyDescent="0.25">
      <c r="B17" s="8"/>
      <c r="C17" s="9"/>
      <c r="D17" s="9"/>
      <c r="E17" s="9"/>
      <c r="F17" s="9"/>
      <c r="G17" s="9"/>
      <c r="H17" s="9"/>
    </row>
    <row r="18" spans="1:8" ht="17" thickTop="1" x14ac:dyDescent="0.2"/>
    <row r="19" spans="1:8" x14ac:dyDescent="0.2">
      <c r="A19" t="s">
        <v>210</v>
      </c>
      <c r="B19" s="1" t="s">
        <v>153</v>
      </c>
    </row>
    <row r="20" spans="1:8" x14ac:dyDescent="0.2">
      <c r="B20" s="17" t="s">
        <v>154</v>
      </c>
      <c r="C20" s="13">
        <v>30</v>
      </c>
      <c r="D20" s="13">
        <v>30</v>
      </c>
      <c r="E20" s="13">
        <v>30</v>
      </c>
      <c r="F20" s="13">
        <v>30</v>
      </c>
      <c r="G20" s="13">
        <v>30</v>
      </c>
    </row>
    <row r="21" spans="1:8" x14ac:dyDescent="0.2">
      <c r="B21" s="17" t="s">
        <v>155</v>
      </c>
      <c r="C21" s="13">
        <v>87</v>
      </c>
      <c r="D21" s="13">
        <v>85</v>
      </c>
      <c r="E21" s="13">
        <v>82</v>
      </c>
      <c r="F21" s="13">
        <v>80</v>
      </c>
      <c r="G21" s="13">
        <v>80</v>
      </c>
    </row>
    <row r="22" spans="1:8" x14ac:dyDescent="0.2">
      <c r="B22" s="17" t="s">
        <v>156</v>
      </c>
      <c r="C22" s="13">
        <v>65</v>
      </c>
      <c r="D22" s="13">
        <v>65</v>
      </c>
      <c r="E22" s="13">
        <v>65</v>
      </c>
      <c r="F22" s="13">
        <v>65</v>
      </c>
      <c r="G22" s="13">
        <v>65</v>
      </c>
    </row>
    <row r="23" spans="1:8" x14ac:dyDescent="0.2">
      <c r="B23" s="17" t="s">
        <v>178</v>
      </c>
      <c r="C23" s="31">
        <v>0.04</v>
      </c>
      <c r="D23" s="31">
        <v>3.7999999999999999E-2</v>
      </c>
      <c r="E23" s="31">
        <v>3.5000000000000003E-2</v>
      </c>
      <c r="F23" s="31">
        <v>3.3000000000000002E-2</v>
      </c>
      <c r="G23" s="31">
        <v>0.03</v>
      </c>
    </row>
    <row r="24" spans="1:8" x14ac:dyDescent="0.2">
      <c r="B24" s="17" t="s">
        <v>177</v>
      </c>
      <c r="C24" s="31">
        <v>0.14499999999999999</v>
      </c>
      <c r="D24" s="31">
        <v>0.14499999999999999</v>
      </c>
      <c r="E24" s="31">
        <v>0.14499999999999999</v>
      </c>
      <c r="F24" s="31">
        <v>0.14499999999999999</v>
      </c>
      <c r="G24" s="31">
        <v>0.14499999999999999</v>
      </c>
    </row>
    <row r="25" spans="1:8" x14ac:dyDescent="0.2">
      <c r="B25" s="17" t="s">
        <v>198</v>
      </c>
      <c r="C25" s="31">
        <v>1.55</v>
      </c>
      <c r="D25" s="31">
        <v>1.55</v>
      </c>
      <c r="E25" s="31">
        <v>1.55</v>
      </c>
      <c r="F25" s="31">
        <v>1.55</v>
      </c>
      <c r="G25" s="31">
        <v>1.55</v>
      </c>
    </row>
    <row r="26" spans="1:8" ht="17" thickBot="1" x14ac:dyDescent="0.25">
      <c r="B26" s="8"/>
      <c r="C26" s="9"/>
      <c r="D26" s="9"/>
      <c r="E26" s="9"/>
      <c r="F26" s="9"/>
      <c r="G26" s="9"/>
      <c r="H26" s="9"/>
    </row>
    <row r="27" spans="1:8" ht="17" thickTop="1" x14ac:dyDescent="0.2"/>
    <row r="28" spans="1:8" x14ac:dyDescent="0.2">
      <c r="A28" t="s">
        <v>210</v>
      </c>
      <c r="B28" s="1" t="s">
        <v>157</v>
      </c>
    </row>
    <row r="29" spans="1:8" x14ac:dyDescent="0.2">
      <c r="B29" s="17" t="s">
        <v>158</v>
      </c>
      <c r="C29" s="31">
        <v>0.36</v>
      </c>
      <c r="D29" s="31">
        <v>0.32</v>
      </c>
      <c r="E29" s="31">
        <v>0.28999999999999998</v>
      </c>
      <c r="F29" s="31">
        <v>0.27</v>
      </c>
      <c r="G29" s="31">
        <v>0.25</v>
      </c>
      <c r="H29" s="31"/>
    </row>
    <row r="30" spans="1:8" x14ac:dyDescent="0.2">
      <c r="B30" s="17" t="s">
        <v>159</v>
      </c>
      <c r="C30" s="31">
        <v>0.16</v>
      </c>
      <c r="D30" s="31">
        <v>0.17</v>
      </c>
      <c r="E30" s="31">
        <v>0.18</v>
      </c>
      <c r="F30" s="31">
        <v>0.19</v>
      </c>
      <c r="G30" s="31">
        <v>0.2</v>
      </c>
      <c r="H30" s="31"/>
    </row>
    <row r="31" spans="1:8" ht="17" thickBot="1" x14ac:dyDescent="0.25">
      <c r="B31" s="8"/>
      <c r="C31" s="9"/>
      <c r="D31" s="9"/>
      <c r="E31" s="9"/>
      <c r="F31" s="9"/>
      <c r="G31" s="9"/>
      <c r="H31" s="9"/>
    </row>
    <row r="32" spans="1:8" ht="17" thickTop="1" x14ac:dyDescent="0.2"/>
    <row r="33" spans="1:8" x14ac:dyDescent="0.2">
      <c r="A33" t="s">
        <v>210</v>
      </c>
      <c r="B33" s="1" t="s">
        <v>160</v>
      </c>
    </row>
    <row r="34" spans="1:8" x14ac:dyDescent="0.2">
      <c r="B34" s="17" t="s">
        <v>161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3"/>
    </row>
    <row r="35" spans="1:8" x14ac:dyDescent="0.2">
      <c r="B35" s="17" t="s">
        <v>347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/>
    </row>
    <row r="36" spans="1:8" ht="17" thickBot="1" x14ac:dyDescent="0.25">
      <c r="B36" s="8"/>
      <c r="C36" s="9"/>
      <c r="D36" s="9"/>
      <c r="E36" s="9"/>
      <c r="F36" s="9"/>
      <c r="G36" s="9"/>
      <c r="H36" s="9"/>
    </row>
    <row r="37" spans="1:8" ht="17" thickTop="1" x14ac:dyDescent="0.2"/>
    <row r="38" spans="1:8" x14ac:dyDescent="0.2">
      <c r="A38" t="s">
        <v>210</v>
      </c>
      <c r="B38" s="1" t="s">
        <v>162</v>
      </c>
    </row>
    <row r="39" spans="1:8" x14ac:dyDescent="0.2">
      <c r="B39" s="18" t="s">
        <v>346</v>
      </c>
      <c r="C39" s="31">
        <v>3.5000000000000003E-2</v>
      </c>
      <c r="D39" s="31">
        <v>3.5000000000000003E-2</v>
      </c>
      <c r="E39" s="31">
        <v>3.2500000000000001E-2</v>
      </c>
      <c r="F39" s="31">
        <v>0.03</v>
      </c>
      <c r="G39" s="31">
        <v>0.03</v>
      </c>
    </row>
    <row r="40" spans="1:8" x14ac:dyDescent="0.2">
      <c r="B40" s="17" t="s">
        <v>199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/>
    </row>
    <row r="41" spans="1:8" x14ac:dyDescent="0.2">
      <c r="B41" s="17" t="s">
        <v>179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/>
    </row>
    <row r="42" spans="1:8" x14ac:dyDescent="0.2">
      <c r="B42" s="17" t="s">
        <v>180</v>
      </c>
      <c r="C42" s="31">
        <v>0.25</v>
      </c>
      <c r="D42" s="31">
        <v>0.25</v>
      </c>
      <c r="E42" s="31">
        <v>0.25</v>
      </c>
      <c r="F42" s="31">
        <v>0.25</v>
      </c>
      <c r="G42" s="31">
        <v>0.25</v>
      </c>
      <c r="H42" s="31"/>
    </row>
    <row r="43" spans="1:8" x14ac:dyDescent="0.2">
      <c r="B43" s="17" t="s">
        <v>181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3"/>
    </row>
    <row r="44" spans="1:8" ht="17" thickBot="1" x14ac:dyDescent="0.25">
      <c r="B44" s="8"/>
      <c r="C44" s="9"/>
      <c r="D44" s="9"/>
      <c r="E44" s="9"/>
      <c r="F44" s="9"/>
      <c r="G44" s="9"/>
      <c r="H44" s="9"/>
    </row>
    <row r="45" spans="1:8" ht="17" thickTop="1" x14ac:dyDescent="0.2"/>
    <row r="46" spans="1:8" x14ac:dyDescent="0.2">
      <c r="A46" t="s">
        <v>210</v>
      </c>
      <c r="B46" s="1" t="s">
        <v>163</v>
      </c>
    </row>
    <row r="47" spans="1:8" x14ac:dyDescent="0.2">
      <c r="B47" s="17" t="s">
        <v>16</v>
      </c>
      <c r="C47" s="31">
        <v>0.17499999999999999</v>
      </c>
      <c r="D47" s="31">
        <v>0.17499999999999999</v>
      </c>
      <c r="E47" s="31">
        <v>0.17499999999999999</v>
      </c>
      <c r="F47" s="31">
        <v>0.17499999999999999</v>
      </c>
      <c r="G47" s="31">
        <v>0.17499999999999999</v>
      </c>
      <c r="H47" s="31"/>
    </row>
    <row r="48" spans="1:8" x14ac:dyDescent="0.2">
      <c r="B48" s="17" t="s">
        <v>211</v>
      </c>
      <c r="C48" s="31">
        <v>0.2</v>
      </c>
      <c r="D48" s="31"/>
      <c r="E48" s="31"/>
      <c r="F48" s="31"/>
      <c r="G48" s="31"/>
      <c r="H48" s="31"/>
    </row>
    <row r="49" spans="1:8" ht="17" thickBot="1" x14ac:dyDescent="0.25">
      <c r="B49" s="8"/>
      <c r="C49" s="9"/>
      <c r="D49" s="9"/>
      <c r="E49" s="9"/>
      <c r="F49" s="9"/>
      <c r="G49" s="9"/>
      <c r="H49" s="9"/>
    </row>
    <row r="50" spans="1:8" ht="17" thickTop="1" x14ac:dyDescent="0.2"/>
    <row r="51" spans="1:8" x14ac:dyDescent="0.2">
      <c r="A51" t="s">
        <v>210</v>
      </c>
      <c r="B51" s="1" t="s">
        <v>164</v>
      </c>
    </row>
    <row r="52" spans="1:8" x14ac:dyDescent="0.2">
      <c r="B52" s="17" t="s">
        <v>165</v>
      </c>
      <c r="C52" s="19" t="s">
        <v>182</v>
      </c>
    </row>
    <row r="53" spans="1:8" x14ac:dyDescent="0.2">
      <c r="B53" s="29" t="s">
        <v>166</v>
      </c>
      <c r="C53" s="31">
        <v>4.7E-2</v>
      </c>
    </row>
    <row r="54" spans="1:8" x14ac:dyDescent="0.2">
      <c r="B54" s="29" t="s">
        <v>167</v>
      </c>
      <c r="C54" s="31">
        <v>4.2999999999999997E-2</v>
      </c>
    </row>
    <row r="55" spans="1:8" x14ac:dyDescent="0.2">
      <c r="B55" s="29" t="s">
        <v>168</v>
      </c>
      <c r="C55" s="13">
        <v>1.26</v>
      </c>
    </row>
    <row r="56" spans="1:8" x14ac:dyDescent="0.2">
      <c r="B56" s="29" t="s">
        <v>169</v>
      </c>
      <c r="C56" s="31">
        <v>5.2999999999999999E-2</v>
      </c>
    </row>
    <row r="57" spans="1:8" x14ac:dyDescent="0.2">
      <c r="B57" s="29" t="s">
        <v>348</v>
      </c>
      <c r="C57" s="31">
        <v>0.02</v>
      </c>
      <c r="D57" s="11">
        <f>1-C57</f>
        <v>0.98</v>
      </c>
    </row>
    <row r="58" spans="1:8" x14ac:dyDescent="0.2">
      <c r="B58" s="17" t="s">
        <v>170</v>
      </c>
      <c r="C58" s="31">
        <v>0.03</v>
      </c>
    </row>
    <row r="59" spans="1:8" ht="17" thickBot="1" x14ac:dyDescent="0.25">
      <c r="B59" s="8"/>
      <c r="C59" s="9"/>
      <c r="D59" s="9"/>
      <c r="E59" s="9"/>
      <c r="F59" s="9"/>
      <c r="G59" s="9"/>
      <c r="H59" s="9"/>
    </row>
    <row r="60" spans="1:8" ht="17" thickTop="1" x14ac:dyDescent="0.2"/>
    <row r="61" spans="1:8" x14ac:dyDescent="0.2">
      <c r="A61" t="s">
        <v>210</v>
      </c>
      <c r="B61" s="1" t="s">
        <v>329</v>
      </c>
    </row>
    <row r="62" spans="1:8" x14ac:dyDescent="0.2">
      <c r="B62" s="17" t="s">
        <v>183</v>
      </c>
      <c r="C62" t="s">
        <v>328</v>
      </c>
    </row>
    <row r="63" spans="1:8" x14ac:dyDescent="0.2">
      <c r="B63" s="17" t="s">
        <v>327</v>
      </c>
    </row>
    <row r="64" spans="1:8" x14ac:dyDescent="0.2">
      <c r="B64" s="29" t="s">
        <v>200</v>
      </c>
      <c r="C64" s="31">
        <v>0.45</v>
      </c>
    </row>
    <row r="65" spans="1:8" x14ac:dyDescent="0.2">
      <c r="B65" s="32" t="s">
        <v>186</v>
      </c>
      <c r="C65" s="31">
        <v>0.3</v>
      </c>
    </row>
    <row r="66" spans="1:8" x14ac:dyDescent="0.2">
      <c r="B66" s="32" t="s">
        <v>185</v>
      </c>
      <c r="C66" s="31">
        <v>0.15</v>
      </c>
    </row>
    <row r="67" spans="1:8" x14ac:dyDescent="0.2">
      <c r="B67" s="32" t="s">
        <v>330</v>
      </c>
      <c r="C67" s="31">
        <v>0</v>
      </c>
    </row>
    <row r="68" spans="1:8" x14ac:dyDescent="0.2">
      <c r="B68" s="32" t="s">
        <v>331</v>
      </c>
      <c r="C68" s="31">
        <v>0.05</v>
      </c>
    </row>
    <row r="69" spans="1:8" x14ac:dyDescent="0.2">
      <c r="B69" s="32" t="s">
        <v>332</v>
      </c>
      <c r="C69" s="31">
        <v>0.05</v>
      </c>
    </row>
    <row r="70" spans="1:8" ht="17" thickBot="1" x14ac:dyDescent="0.25">
      <c r="B70" s="8"/>
      <c r="C70" s="9"/>
      <c r="D70" s="9"/>
      <c r="E70" s="9"/>
      <c r="F70" s="9"/>
      <c r="G70" s="9"/>
      <c r="H70" s="9"/>
    </row>
    <row r="71" spans="1:8" ht="17" thickTop="1" x14ac:dyDescent="0.2"/>
    <row r="72" spans="1:8" x14ac:dyDescent="0.2">
      <c r="A72" t="s">
        <v>210</v>
      </c>
      <c r="B72" s="1" t="s">
        <v>171</v>
      </c>
    </row>
    <row r="73" spans="1:8" x14ac:dyDescent="0.2">
      <c r="B73" s="25" t="s">
        <v>187</v>
      </c>
      <c r="C73" s="19" t="s">
        <v>190</v>
      </c>
    </row>
    <row r="74" spans="1:8" x14ac:dyDescent="0.2">
      <c r="B74" s="17" t="s">
        <v>188</v>
      </c>
    </row>
    <row r="75" spans="1:8" x14ac:dyDescent="0.2">
      <c r="B75" s="29" t="s">
        <v>193</v>
      </c>
      <c r="C75" s="31">
        <v>0.03</v>
      </c>
    </row>
    <row r="76" spans="1:8" x14ac:dyDescent="0.2">
      <c r="B76" s="29" t="s">
        <v>194</v>
      </c>
      <c r="C76" s="31">
        <v>1.4999999999999999E-2</v>
      </c>
    </row>
    <row r="77" spans="1:8" x14ac:dyDescent="0.2">
      <c r="B77" s="17" t="s">
        <v>189</v>
      </c>
      <c r="C77" s="31"/>
    </row>
    <row r="78" spans="1:8" x14ac:dyDescent="0.2">
      <c r="B78" s="29" t="s">
        <v>196</v>
      </c>
      <c r="C78" s="31">
        <v>-0.04</v>
      </c>
    </row>
    <row r="79" spans="1:8" x14ac:dyDescent="0.2">
      <c r="B79" s="29" t="s">
        <v>195</v>
      </c>
      <c r="C79" s="31">
        <v>-0.02</v>
      </c>
    </row>
    <row r="80" spans="1:8" ht="17" thickBot="1" x14ac:dyDescent="0.25">
      <c r="B80" s="8"/>
      <c r="C80" s="9"/>
      <c r="D80" s="9"/>
      <c r="E80" s="9"/>
      <c r="F80" s="9"/>
      <c r="G80" s="9"/>
      <c r="H80" s="9"/>
    </row>
    <row r="81" spans="2:8" ht="17" thickTop="1" x14ac:dyDescent="0.2"/>
    <row r="82" spans="2:8" hidden="1" outlineLevel="1" x14ac:dyDescent="0.2">
      <c r="B82" s="1" t="s">
        <v>197</v>
      </c>
      <c r="C82" s="36">
        <f t="shared" ref="C82:H82" si="2">C5</f>
        <v>2026</v>
      </c>
      <c r="D82" s="36">
        <f t="shared" si="2"/>
        <v>2027</v>
      </c>
      <c r="E82" s="36">
        <f t="shared" si="2"/>
        <v>2028</v>
      </c>
      <c r="F82" s="36">
        <f t="shared" si="2"/>
        <v>2029</v>
      </c>
      <c r="G82" s="36">
        <f t="shared" si="2"/>
        <v>2030</v>
      </c>
      <c r="H82" s="36" t="str">
        <f t="shared" si="2"/>
        <v>Terminal</v>
      </c>
    </row>
    <row r="83" spans="2:8" hidden="1" outlineLevel="1" x14ac:dyDescent="0.2">
      <c r="B83" t="s">
        <v>191</v>
      </c>
      <c r="C83" s="38">
        <f>IF($C$3="Base", C7, IF($C$3="Bull", C7+$C$75, IF($C$3="Bear", C7+$C$78, "")))</f>
        <v>0.41</v>
      </c>
      <c r="D83" s="38">
        <f t="shared" ref="C83:H83" si="3">IF($C$3="Base", D7, IF($C$3="Bull", D7+$C$75, IF($C$3="Bear", D7+$C$78, "")))</f>
        <v>0.19</v>
      </c>
      <c r="E83" s="38">
        <f t="shared" si="3"/>
        <v>0.16</v>
      </c>
      <c r="F83" s="38">
        <f t="shared" si="3"/>
        <v>0.14000000000000001</v>
      </c>
      <c r="G83" s="38">
        <f t="shared" si="3"/>
        <v>0.12</v>
      </c>
      <c r="H83" s="38">
        <f t="shared" si="3"/>
        <v>0.03</v>
      </c>
    </row>
    <row r="84" spans="2:8" hidden="1" outlineLevel="1" x14ac:dyDescent="0.2">
      <c r="B84" t="s">
        <v>192</v>
      </c>
      <c r="C84" s="38">
        <f t="shared" ref="C84:H84" si="4">IF($C$3="Base", C13, IF($C$3="Bull", C13+$C$76, IF($C$3="Bear", C13+$C$79, "")))</f>
        <v>0.66</v>
      </c>
      <c r="D84" s="38">
        <f t="shared" si="4"/>
        <v>0.64</v>
      </c>
      <c r="E84" s="38">
        <f t="shared" si="4"/>
        <v>0.62</v>
      </c>
      <c r="F84" s="38">
        <f t="shared" si="4"/>
        <v>0.6</v>
      </c>
      <c r="G84" s="38">
        <f t="shared" si="4"/>
        <v>0.59</v>
      </c>
      <c r="H84" s="38">
        <f t="shared" si="4"/>
        <v>0.56999999999999995</v>
      </c>
    </row>
    <row r="85" spans="2:8" collapsed="1" x14ac:dyDescent="0.2"/>
    <row r="87" spans="2:8" x14ac:dyDescent="0.2">
      <c r="C87" s="37"/>
    </row>
  </sheetData>
  <conditionalFormatting sqref="C10:H10">
    <cfRule type="notContainsText" dxfId="1" priority="1" operator="notContains" text="TRUE">
      <formula>ISERROR(SEARCH("TRUE",C10))</formula>
    </cfRule>
  </conditionalFormatting>
  <dataValidations disablePrompts="1" count="1">
    <dataValidation type="list" allowBlank="1" showInputMessage="1" showErrorMessage="1" sqref="C3" xr:uid="{22EA9A6F-379F-D940-88D6-8C14B65804AC}">
      <formula1>$I$2:$I$4</formula1>
    </dataValidation>
  </dataValidations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EA686-60FE-334A-9CBC-5893661D6C9C}">
  <dimension ref="A1:L41"/>
  <sheetViews>
    <sheetView zoomScaleNormal="150" workbookViewId="0"/>
  </sheetViews>
  <sheetFormatPr baseColWidth="10" defaultRowHeight="16" x14ac:dyDescent="0.2"/>
  <cols>
    <col min="1" max="1" width="3.33203125" customWidth="1"/>
    <col min="2" max="2" width="32.6640625" customWidth="1"/>
  </cols>
  <sheetData>
    <row r="1" spans="1:12" ht="17" thickBot="1" x14ac:dyDescent="0.25"/>
    <row r="2" spans="1:12" ht="17" thickTop="1" x14ac:dyDescent="0.2">
      <c r="B2" s="6" t="s">
        <v>97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17" thickBot="1" x14ac:dyDescent="0.25">
      <c r="B3" s="8" t="s">
        <v>21</v>
      </c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17" thickTop="1" x14ac:dyDescent="0.2">
      <c r="B4" s="5"/>
    </row>
    <row r="5" spans="1:12" x14ac:dyDescent="0.2">
      <c r="C5" s="1">
        <f t="shared" ref="C5:E5" si="0">D5-1</f>
        <v>2021</v>
      </c>
      <c r="D5" s="1">
        <f t="shared" si="0"/>
        <v>2022</v>
      </c>
      <c r="E5" s="1">
        <f t="shared" si="0"/>
        <v>2023</v>
      </c>
      <c r="F5" s="1">
        <f>G5-1</f>
        <v>2024</v>
      </c>
      <c r="G5" s="1">
        <f>H5-1</f>
        <v>2025</v>
      </c>
      <c r="H5" s="4">
        <f>_xlfn.NUMBERVALUE(ReadMe!$C$10)</f>
        <v>2026</v>
      </c>
      <c r="I5" s="4">
        <f>H5+1</f>
        <v>2027</v>
      </c>
      <c r="J5" s="4">
        <f t="shared" ref="J5:L5" si="1">I5+1</f>
        <v>2028</v>
      </c>
      <c r="K5" s="4">
        <f t="shared" si="1"/>
        <v>2029</v>
      </c>
      <c r="L5" s="4">
        <f t="shared" si="1"/>
        <v>2030</v>
      </c>
    </row>
    <row r="6" spans="1:12" x14ac:dyDescent="0.2">
      <c r="A6" t="s">
        <v>210</v>
      </c>
      <c r="B6" s="2" t="s">
        <v>0</v>
      </c>
      <c r="C6" s="12">
        <v>57224.800000000003</v>
      </c>
      <c r="D6" s="12">
        <v>73670.399999999994</v>
      </c>
      <c r="E6" s="12">
        <v>70598.8</v>
      </c>
      <c r="F6" s="12">
        <v>88268</v>
      </c>
      <c r="G6" s="12">
        <v>121423.5</v>
      </c>
      <c r="H6" s="10">
        <f>G6*(1+Assumptions!C83)</f>
        <v>171207.13499999998</v>
      </c>
      <c r="I6" s="10">
        <f>H6*(1+Assumptions!D83)</f>
        <v>203736.49064999996</v>
      </c>
      <c r="J6" s="10">
        <f>I6*(1+Assumptions!E83)</f>
        <v>236334.32915399995</v>
      </c>
      <c r="K6" s="10">
        <f>J6*(1+Assumptions!F83)</f>
        <v>269421.13523555995</v>
      </c>
      <c r="L6" s="10">
        <f>K6*(1+Assumptions!G83)</f>
        <v>301751.6714638272</v>
      </c>
    </row>
    <row r="7" spans="1:12" x14ac:dyDescent="0.2">
      <c r="B7" s="3" t="s">
        <v>10</v>
      </c>
      <c r="D7" s="11">
        <f>(D6-C6)/C6</f>
        <v>0.28738588863569625</v>
      </c>
      <c r="E7" s="11">
        <f t="shared" ref="E7:L7" si="2">(E6-D6)/D6</f>
        <v>-4.1693814612110039E-2</v>
      </c>
      <c r="F7" s="11">
        <f t="shared" si="2"/>
        <v>0.25027620866077038</v>
      </c>
      <c r="G7" s="11">
        <f t="shared" si="2"/>
        <v>0.37562310237005481</v>
      </c>
      <c r="H7" s="11">
        <f t="shared" si="2"/>
        <v>0.40999999999999986</v>
      </c>
      <c r="I7" s="11">
        <f t="shared" si="2"/>
        <v>0.18999999999999992</v>
      </c>
      <c r="J7" s="11">
        <f t="shared" si="2"/>
        <v>0.15999999999999995</v>
      </c>
      <c r="K7" s="11">
        <f t="shared" si="2"/>
        <v>0.14000000000000004</v>
      </c>
      <c r="L7" s="11">
        <f t="shared" si="2"/>
        <v>0.12000000000000018</v>
      </c>
    </row>
    <row r="8" spans="1:12" x14ac:dyDescent="0.2">
      <c r="B8" t="s">
        <v>1</v>
      </c>
      <c r="C8" s="12">
        <v>27681.3</v>
      </c>
      <c r="D8" s="12">
        <v>29792.9</v>
      </c>
      <c r="E8" s="12">
        <v>32221.599999999999</v>
      </c>
      <c r="F8" s="12">
        <v>38729.9</v>
      </c>
      <c r="G8" s="12">
        <v>48701.3</v>
      </c>
      <c r="H8" s="10">
        <f>H6*(1-Assumptions!C84)</f>
        <v>58210.425899999987</v>
      </c>
      <c r="I8" s="10">
        <f>I6*(1-Assumptions!D84)</f>
        <v>73345.13663399998</v>
      </c>
      <c r="J8" s="10">
        <f>J6*(1-Assumptions!E84)</f>
        <v>89807.045078519979</v>
      </c>
      <c r="K8" s="10">
        <f>K6*(1-Assumptions!F84)</f>
        <v>107768.45409422398</v>
      </c>
      <c r="L8" s="10">
        <f>L6*(1-Assumptions!G84)</f>
        <v>123718.18530016916</v>
      </c>
    </row>
    <row r="9" spans="1:12" x14ac:dyDescent="0.2">
      <c r="A9" t="s">
        <v>210</v>
      </c>
      <c r="B9" s="1" t="s">
        <v>2</v>
      </c>
      <c r="C9" s="12">
        <v>29543.5</v>
      </c>
      <c r="D9" s="12">
        <v>43877.5</v>
      </c>
      <c r="E9" s="12">
        <v>38377.199999999997</v>
      </c>
      <c r="F9" s="12">
        <v>49538.1</v>
      </c>
      <c r="G9" s="12">
        <v>72722.2</v>
      </c>
      <c r="H9" s="10">
        <f>H6-H8</f>
        <v>112996.70909999999</v>
      </c>
      <c r="I9" s="10">
        <f>I6-I8</f>
        <v>130391.35401599998</v>
      </c>
      <c r="J9" s="10">
        <f>J6-J8</f>
        <v>146527.28407547995</v>
      </c>
      <c r="K9" s="10">
        <f>K6-K8</f>
        <v>161652.68114133598</v>
      </c>
      <c r="L9" s="10">
        <f>L6-L8</f>
        <v>178033.48616365803</v>
      </c>
    </row>
    <row r="10" spans="1:12" x14ac:dyDescent="0.2">
      <c r="B10" t="s">
        <v>3</v>
      </c>
      <c r="C10" s="11">
        <f>C9/C6</f>
        <v>0.51627091750429877</v>
      </c>
      <c r="D10" s="11">
        <f>D9/D6</f>
        <v>0.5955919880983408</v>
      </c>
      <c r="E10" s="11">
        <f t="shared" ref="E10:G10" si="3">E9/E6</f>
        <v>0.54359564185226938</v>
      </c>
      <c r="F10" s="11">
        <f t="shared" si="3"/>
        <v>0.56122377305478766</v>
      </c>
      <c r="G10" s="11">
        <f t="shared" si="3"/>
        <v>0.59891371933769</v>
      </c>
      <c r="H10" s="11">
        <f>H9/H6</f>
        <v>0.66</v>
      </c>
      <c r="I10" s="11">
        <f>I9/I6</f>
        <v>0.64</v>
      </c>
      <c r="J10" s="11">
        <f>J9/J6</f>
        <v>0.62</v>
      </c>
      <c r="K10" s="11">
        <f>K9/K6</f>
        <v>0.60000000000000009</v>
      </c>
      <c r="L10" s="11">
        <f>L9/L6</f>
        <v>0.59</v>
      </c>
    </row>
    <row r="12" spans="1:12" x14ac:dyDescent="0.2">
      <c r="B12" t="s">
        <v>4</v>
      </c>
      <c r="C12" s="12">
        <v>4496.6000000000004</v>
      </c>
      <c r="D12" s="12">
        <v>5312.9</v>
      </c>
      <c r="E12" s="12">
        <v>5955.9</v>
      </c>
      <c r="F12" s="12">
        <v>6227</v>
      </c>
      <c r="G12" s="12">
        <v>7855.5</v>
      </c>
      <c r="H12" s="10">
        <f>H6*Assumptions!C14</f>
        <v>10272.428099999999</v>
      </c>
      <c r="I12" s="10">
        <f>I6*Assumptions!D14</f>
        <v>12224.189438999998</v>
      </c>
      <c r="J12" s="10">
        <f>J6*Assumptions!E14</f>
        <v>14180.059749239996</v>
      </c>
      <c r="K12" s="10">
        <f>K6*Assumptions!F14</f>
        <v>16165.268114133596</v>
      </c>
      <c r="L12" s="10">
        <f>L6*Assumptions!G14</f>
        <v>18105.100287829631</v>
      </c>
    </row>
    <row r="13" spans="1:12" x14ac:dyDescent="0.2">
      <c r="B13" s="3" t="s">
        <v>11</v>
      </c>
      <c r="C13" s="11">
        <f t="shared" ref="C13:L13" si="4">C12/C6</f>
        <v>7.8577819406970409E-2</v>
      </c>
      <c r="D13" s="11">
        <f t="shared" si="4"/>
        <v>7.2117159673355927E-2</v>
      </c>
      <c r="E13" s="11">
        <f t="shared" si="4"/>
        <v>8.4362623727315469E-2</v>
      </c>
      <c r="F13" s="11">
        <f t="shared" si="4"/>
        <v>7.0546517424208088E-2</v>
      </c>
      <c r="G13" s="11">
        <f t="shared" si="4"/>
        <v>6.4695054911116878E-2</v>
      </c>
      <c r="H13" s="11">
        <f t="shared" si="4"/>
        <v>6.0000000000000005E-2</v>
      </c>
      <c r="I13" s="11">
        <f t="shared" si="4"/>
        <v>0.06</v>
      </c>
      <c r="J13" s="11">
        <f t="shared" si="4"/>
        <v>0.06</v>
      </c>
      <c r="K13" s="11">
        <f t="shared" si="4"/>
        <v>0.06</v>
      </c>
      <c r="L13" s="11">
        <f t="shared" si="4"/>
        <v>0.06</v>
      </c>
    </row>
    <row r="15" spans="1:12" x14ac:dyDescent="0.2">
      <c r="B15" t="s">
        <v>5</v>
      </c>
      <c r="C15" s="12">
        <f>1331.3+272.4</f>
        <v>1603.6999999999998</v>
      </c>
      <c r="D15" s="12">
        <f>1741.8+322.7</f>
        <v>2064.5</v>
      </c>
      <c r="E15" s="12">
        <f>1988+345.9</f>
        <v>2333.9</v>
      </c>
      <c r="F15" s="12">
        <f>2554+400.8</f>
        <v>2954.8</v>
      </c>
      <c r="G15" s="12">
        <f>2623.7+539.3</f>
        <v>3163</v>
      </c>
      <c r="H15" s="10">
        <f>H6*Assumptions!C15</f>
        <v>3766.5569699999992</v>
      </c>
      <c r="I15" s="10">
        <f>I6*Assumptions!D15</f>
        <v>4482.2027942999994</v>
      </c>
      <c r="J15" s="10">
        <f>J6*Assumptions!E15</f>
        <v>5199.3552413879988</v>
      </c>
      <c r="K15" s="10">
        <f>K6*Assumptions!F15</f>
        <v>5927.2649751823183</v>
      </c>
      <c r="L15" s="10">
        <f>L6*Assumptions!G15</f>
        <v>6638.5367722041983</v>
      </c>
    </row>
    <row r="16" spans="1:12" x14ac:dyDescent="0.2">
      <c r="B16" s="3" t="s">
        <v>11</v>
      </c>
      <c r="C16" s="11">
        <f>C15/C6</f>
        <v>2.8024562776977808E-2</v>
      </c>
      <c r="D16" s="11">
        <f>D15/D6</f>
        <v>2.8023466684041355E-2</v>
      </c>
      <c r="E16" s="11">
        <f>E15/E6</f>
        <v>3.3058635557544888E-2</v>
      </c>
      <c r="F16" s="11">
        <f>F15/F6</f>
        <v>3.3475325146145832E-2</v>
      </c>
      <c r="G16" s="11">
        <f>G15/G6</f>
        <v>2.604932323644105E-2</v>
      </c>
    </row>
    <row r="18" spans="1:12" x14ac:dyDescent="0.2">
      <c r="A18" t="s">
        <v>210</v>
      </c>
      <c r="B18" s="1" t="s">
        <v>20</v>
      </c>
      <c r="C18" s="12">
        <v>23431.200000000001</v>
      </c>
      <c r="D18" s="12">
        <v>36488.1</v>
      </c>
      <c r="E18" s="12">
        <v>30093.599999999999</v>
      </c>
      <c r="F18" s="12">
        <v>40318.800000000003</v>
      </c>
      <c r="G18" s="12">
        <v>61717.9</v>
      </c>
      <c r="H18" s="10">
        <f>H9-H12-H15</f>
        <v>98957.724029999983</v>
      </c>
      <c r="I18" s="10">
        <f>I9-I12-I15</f>
        <v>113684.96178269999</v>
      </c>
      <c r="J18" s="10">
        <f>J9-J12-J15</f>
        <v>127147.86908485196</v>
      </c>
      <c r="K18" s="10">
        <f>K9-K12-K15</f>
        <v>139560.14805202009</v>
      </c>
      <c r="L18" s="10">
        <f>L9-L12-L15</f>
        <v>153289.8491036242</v>
      </c>
    </row>
    <row r="19" spans="1:12" x14ac:dyDescent="0.2">
      <c r="B19" t="s">
        <v>6</v>
      </c>
      <c r="C19" s="11">
        <f t="shared" ref="C19:L19" si="5">C18/C6</f>
        <v>0.40945883602913419</v>
      </c>
      <c r="D19" s="11">
        <f t="shared" si="5"/>
        <v>0.49528847406828252</v>
      </c>
      <c r="E19" s="11">
        <f t="shared" si="5"/>
        <v>0.42626220275698734</v>
      </c>
      <c r="F19" s="11">
        <f t="shared" si="5"/>
        <v>0.45677708795939642</v>
      </c>
      <c r="G19" s="11">
        <f t="shared" si="5"/>
        <v>0.50828628725082048</v>
      </c>
      <c r="H19" s="11">
        <f t="shared" si="5"/>
        <v>0.57799999999999996</v>
      </c>
      <c r="I19" s="11">
        <f t="shared" si="5"/>
        <v>0.55800000000000005</v>
      </c>
      <c r="J19" s="11">
        <f t="shared" si="5"/>
        <v>0.53799999999999992</v>
      </c>
      <c r="K19" s="11">
        <f t="shared" si="5"/>
        <v>0.51800000000000013</v>
      </c>
      <c r="L19" s="11">
        <f t="shared" si="5"/>
        <v>0.50800000000000001</v>
      </c>
    </row>
    <row r="21" spans="1:12" x14ac:dyDescent="0.2">
      <c r="B21" t="s">
        <v>95</v>
      </c>
      <c r="C21" s="12">
        <f>14931.1+295.9</f>
        <v>15227</v>
      </c>
      <c r="D21" s="12">
        <f>13944+284.9</f>
        <v>14228.9</v>
      </c>
      <c r="E21" s="12">
        <f>17078.1+302.4</f>
        <v>17380.5</v>
      </c>
      <c r="F21" s="12">
        <f>19933.2+280.2</f>
        <v>20213.400000000001</v>
      </c>
      <c r="G21" s="12">
        <f>21666.7+268.2</f>
        <v>21934.9</v>
      </c>
      <c r="H21" s="10">
        <f>'PP&amp;E'!H8</f>
        <v>27393.141599999999</v>
      </c>
      <c r="I21" s="10">
        <f>'PP&amp;E'!I8</f>
        <v>34635.203410499998</v>
      </c>
      <c r="J21" s="10">
        <f>'PP&amp;E'!J8</f>
        <v>42540.179247719992</v>
      </c>
      <c r="K21" s="10">
        <f>'PP&amp;E'!K8</f>
        <v>51190.015694756388</v>
      </c>
      <c r="L21" s="10">
        <f>'PP&amp;E'!L8</f>
        <v>60350.334292765445</v>
      </c>
    </row>
    <row r="23" spans="1:12" x14ac:dyDescent="0.2">
      <c r="A23" t="s">
        <v>210</v>
      </c>
      <c r="B23" s="1" t="s">
        <v>18</v>
      </c>
      <c r="C23" s="10">
        <f t="shared" ref="C23:L23" si="6">C18+C21</f>
        <v>38658.199999999997</v>
      </c>
      <c r="D23" s="10">
        <f t="shared" si="6"/>
        <v>50717</v>
      </c>
      <c r="E23" s="10">
        <f t="shared" si="6"/>
        <v>47474.1</v>
      </c>
      <c r="F23" s="10">
        <f t="shared" si="6"/>
        <v>60532.200000000004</v>
      </c>
      <c r="G23" s="10">
        <f t="shared" si="6"/>
        <v>83652.800000000003</v>
      </c>
      <c r="H23" s="10">
        <f t="shared" si="6"/>
        <v>126350.86562999999</v>
      </c>
      <c r="I23" s="10">
        <f t="shared" si="6"/>
        <v>148320.16519319999</v>
      </c>
      <c r="J23" s="10">
        <f t="shared" si="6"/>
        <v>169688.04833257195</v>
      </c>
      <c r="K23" s="10">
        <f t="shared" si="6"/>
        <v>190750.16374677647</v>
      </c>
      <c r="L23" s="10">
        <f t="shared" si="6"/>
        <v>213640.18339638965</v>
      </c>
    </row>
    <row r="24" spans="1:12" x14ac:dyDescent="0.2">
      <c r="B24" t="s">
        <v>19</v>
      </c>
      <c r="C24" s="11">
        <f t="shared" ref="C24:L24" si="7">C23/C6</f>
        <v>0.67554976164180558</v>
      </c>
      <c r="D24" s="11">
        <f t="shared" si="7"/>
        <v>0.68843117452871172</v>
      </c>
      <c r="E24" s="11">
        <f t="shared" si="7"/>
        <v>0.67244910678368464</v>
      </c>
      <c r="F24" s="11">
        <f t="shared" si="7"/>
        <v>0.68577740517514851</v>
      </c>
      <c r="G24" s="11">
        <f t="shared" si="7"/>
        <v>0.68893418489831049</v>
      </c>
      <c r="H24" s="11">
        <f t="shared" si="7"/>
        <v>0.73799999999999999</v>
      </c>
      <c r="I24" s="11">
        <f t="shared" si="7"/>
        <v>0.72800000000000009</v>
      </c>
      <c r="J24" s="11">
        <f t="shared" si="7"/>
        <v>0.71799999999999997</v>
      </c>
      <c r="K24" s="11">
        <f t="shared" si="7"/>
        <v>0.70800000000000007</v>
      </c>
      <c r="L24" s="11">
        <f t="shared" si="7"/>
        <v>0.70799999999999996</v>
      </c>
    </row>
    <row r="26" spans="1:12" x14ac:dyDescent="0.2">
      <c r="B26" t="s">
        <v>12</v>
      </c>
      <c r="C26" s="12">
        <v>205.8</v>
      </c>
      <c r="D26" s="12">
        <v>729.7</v>
      </c>
      <c r="E26" s="12">
        <v>1969.1</v>
      </c>
      <c r="F26" s="12">
        <v>2659.8</v>
      </c>
      <c r="G26" s="12">
        <v>3370.7</v>
      </c>
      <c r="H26" s="10">
        <f ca="1">AVERAGE(BS!G8+BS!G9+BS!G18,BS!H8+BS!H9+BS!H18)*Assumptions!C39</f>
        <v>4103.8202568568404</v>
      </c>
      <c r="I26" s="10">
        <f ca="1">AVERAGE(BS!H8+BS!H9+BS!H18,BS!I8+BS!I9+BS!I18)*Assumptions!D39</f>
        <v>5453.9562368722663</v>
      </c>
      <c r="J26" s="10">
        <f ca="1">AVERAGE(BS!I8+BS!I9+BS!I18,BS!J8+BS!J9+BS!J18)*Assumptions!E39</f>
        <v>6822.0636720021967</v>
      </c>
      <c r="K26" s="10">
        <f ca="1">AVERAGE(BS!J8+BS!J9+BS!J18,BS!K8+BS!K9+BS!K18)*Assumptions!F39</f>
        <v>8331.3913793672546</v>
      </c>
      <c r="L26" s="10">
        <f ca="1">AVERAGE(BS!K8+BS!K9+BS!K18,BS!L8+BS!L9+BS!L18)*Assumptions!G39</f>
        <v>10806.124115499191</v>
      </c>
    </row>
    <row r="27" spans="1:12" x14ac:dyDescent="0.2">
      <c r="B27" t="s">
        <v>7</v>
      </c>
      <c r="C27" s="12">
        <v>195.2</v>
      </c>
      <c r="D27" s="12">
        <v>382.4</v>
      </c>
      <c r="E27" s="12">
        <v>391.9</v>
      </c>
      <c r="F27" s="12">
        <v>320.10000000000002</v>
      </c>
      <c r="G27" s="12">
        <v>394.3</v>
      </c>
      <c r="H27">
        <f>(AVERAGE(BS!G26,BS!H26)+AVERAGE(BS!G33,BS!H33))*Assumptions!$C$56</f>
        <v>1745.2475999999997</v>
      </c>
      <c r="I27">
        <f>(AVERAGE(BS!H26,BS!I26)+AVERAGE(BS!H33,BS!I33))*Assumptions!$C$56</f>
        <v>1745.2475999999997</v>
      </c>
      <c r="J27">
        <f>(AVERAGE(BS!I26,BS!J26)+AVERAGE(BS!I33,BS!J33))*Assumptions!$C$56</f>
        <v>1745.2475999999997</v>
      </c>
      <c r="K27">
        <f>(AVERAGE(BS!J26,BS!K26)+AVERAGE(BS!J33,BS!K33))*Assumptions!$C$56</f>
        <v>1745.2475999999997</v>
      </c>
      <c r="L27">
        <f>(AVERAGE(BS!K26,BS!L26)+AVERAGE(BS!K33,BS!L33))*Assumptions!$C$56</f>
        <v>1745.2475999999997</v>
      </c>
    </row>
    <row r="28" spans="1:12" x14ac:dyDescent="0.2">
      <c r="B28" t="s">
        <v>13</v>
      </c>
      <c r="C28" s="12">
        <v>35.1</v>
      </c>
      <c r="D28" s="12">
        <v>30.8</v>
      </c>
      <c r="E28" s="12">
        <v>15.7</v>
      </c>
      <c r="F28" s="12">
        <v>17.3</v>
      </c>
      <c r="G28" s="12">
        <v>18.899999999999999</v>
      </c>
    </row>
    <row r="29" spans="1:12" x14ac:dyDescent="0.2">
      <c r="C29" s="12"/>
      <c r="D29" s="12"/>
      <c r="E29" s="12"/>
      <c r="F29" s="12"/>
      <c r="G29" s="12"/>
    </row>
    <row r="30" spans="1:12" x14ac:dyDescent="0.2">
      <c r="A30" t="s">
        <v>210</v>
      </c>
      <c r="B30" s="1" t="s">
        <v>14</v>
      </c>
      <c r="C30" s="12">
        <v>23901.8</v>
      </c>
      <c r="D30" s="12">
        <v>37229.800000000003</v>
      </c>
      <c r="E30" s="12">
        <v>31982.9</v>
      </c>
      <c r="F30" s="12">
        <v>42874</v>
      </c>
      <c r="G30" s="12">
        <v>65083</v>
      </c>
      <c r="H30" s="10">
        <f ca="1">H18+H26-H27+H28</f>
        <v>101316.29668685682</v>
      </c>
      <c r="I30" s="10">
        <f ca="1">I18+I26-I27+I28</f>
        <v>117393.67041957226</v>
      </c>
      <c r="J30" s="10">
        <f ca="1">J18+J26-J27+J28</f>
        <v>132224.68515685416</v>
      </c>
      <c r="K30" s="10">
        <f ca="1">K18+K26-K27+K28</f>
        <v>146146.29183138732</v>
      </c>
      <c r="L30" s="10">
        <f ca="1">L18+L26-L27+L28</f>
        <v>162350.7256191234</v>
      </c>
    </row>
    <row r="31" spans="1:12" x14ac:dyDescent="0.2">
      <c r="B31" t="s">
        <v>15</v>
      </c>
      <c r="C31" s="12">
        <v>2529</v>
      </c>
      <c r="D31" s="12">
        <v>4906.5</v>
      </c>
      <c r="E31" s="12">
        <v>4189.7</v>
      </c>
      <c r="F31" s="12">
        <v>7572.9</v>
      </c>
      <c r="G31" s="12">
        <v>11046.5</v>
      </c>
      <c r="H31" s="10">
        <f ca="1">H30*Assumptions!C47</f>
        <v>17730.351920199941</v>
      </c>
      <c r="I31" s="10">
        <f ca="1">I30*Assumptions!D47</f>
        <v>20543.892323425145</v>
      </c>
      <c r="J31" s="10">
        <f ca="1">J30*Assumptions!E47</f>
        <v>23139.319902449475</v>
      </c>
      <c r="K31" s="10">
        <f ca="1">K30*Assumptions!F47</f>
        <v>25575.601070492779</v>
      </c>
      <c r="L31" s="10">
        <f ca="1">L30*Assumptions!G47</f>
        <v>28411.376983346596</v>
      </c>
    </row>
    <row r="32" spans="1:12" x14ac:dyDescent="0.2">
      <c r="B32" t="s">
        <v>16</v>
      </c>
      <c r="C32" s="11">
        <f t="shared" ref="C32:L32" si="8">C31/C30</f>
        <v>0.10580793078345564</v>
      </c>
      <c r="D32" s="11">
        <f t="shared" si="8"/>
        <v>0.13178958791075965</v>
      </c>
      <c r="E32" s="11">
        <f t="shared" si="8"/>
        <v>0.13099812712418196</v>
      </c>
      <c r="F32" s="11">
        <f t="shared" si="8"/>
        <v>0.17663152493352613</v>
      </c>
      <c r="G32" s="11">
        <f t="shared" si="8"/>
        <v>0.16972942242982039</v>
      </c>
      <c r="H32" s="11">
        <f t="shared" ca="1" si="8"/>
        <v>0.17499999999999996</v>
      </c>
      <c r="I32" s="11">
        <f t="shared" ca="1" si="8"/>
        <v>0.17500000000000002</v>
      </c>
      <c r="J32" s="11">
        <f t="shared" ca="1" si="8"/>
        <v>0.17499999999999999</v>
      </c>
      <c r="K32" s="11">
        <f t="shared" ca="1" si="8"/>
        <v>0.17499999999999999</v>
      </c>
      <c r="L32" s="11">
        <f t="shared" ca="1" si="8"/>
        <v>0.17499999999999999</v>
      </c>
    </row>
    <row r="34" spans="1:12" x14ac:dyDescent="0.2">
      <c r="A34" t="s">
        <v>210</v>
      </c>
      <c r="B34" s="1" t="s">
        <v>8</v>
      </c>
      <c r="C34" s="12">
        <v>21372.799999999999</v>
      </c>
      <c r="D34" s="12">
        <v>32323.3</v>
      </c>
      <c r="E34" s="12">
        <v>27793.200000000001</v>
      </c>
      <c r="F34" s="12">
        <v>35301.1</v>
      </c>
      <c r="G34" s="12">
        <v>54036.5</v>
      </c>
      <c r="H34" s="10">
        <f ca="1">H30-H31</f>
        <v>83585.944766656874</v>
      </c>
      <c r="I34" s="10">
        <f ca="1">I30-I31</f>
        <v>96849.778096147114</v>
      </c>
      <c r="J34" s="10">
        <f ca="1">J30-J31</f>
        <v>109085.36525440469</v>
      </c>
      <c r="K34" s="10">
        <f ca="1">K30-K31</f>
        <v>120570.69076089455</v>
      </c>
      <c r="L34" s="10">
        <f ca="1">L30-L31</f>
        <v>133939.34863577681</v>
      </c>
    </row>
    <row r="35" spans="1:12" x14ac:dyDescent="0.2">
      <c r="B35" t="s">
        <v>9</v>
      </c>
      <c r="C35" s="11">
        <f t="shared" ref="C35:L35" si="9">C34/C6</f>
        <v>0.37348841760914847</v>
      </c>
      <c r="D35" s="11">
        <f t="shared" si="9"/>
        <v>0.43875559247676138</v>
      </c>
      <c r="E35" s="11">
        <f t="shared" si="9"/>
        <v>0.39367807951409939</v>
      </c>
      <c r="F35" s="11">
        <f t="shared" si="9"/>
        <v>0.39993089228259388</v>
      </c>
      <c r="G35" s="11">
        <f t="shared" si="9"/>
        <v>0.44502505692884819</v>
      </c>
      <c r="H35" s="11">
        <f t="shared" ca="1" si="9"/>
        <v>0.48821531162621745</v>
      </c>
      <c r="I35" s="11">
        <f t="shared" ca="1" si="9"/>
        <v>0.47536785279435229</v>
      </c>
      <c r="J35" s="11">
        <f t="shared" ca="1" si="9"/>
        <v>0.46157223812932652</v>
      </c>
      <c r="K35" s="11">
        <f t="shared" ca="1" si="9"/>
        <v>0.44751756633894862</v>
      </c>
      <c r="L35" s="11">
        <f t="shared" ca="1" si="9"/>
        <v>0.4438727646015142</v>
      </c>
    </row>
    <row r="37" spans="1:12" x14ac:dyDescent="0.2">
      <c r="B37" t="s">
        <v>22</v>
      </c>
      <c r="C37" s="12">
        <v>25930.3</v>
      </c>
      <c r="D37" s="12">
        <v>25930.3</v>
      </c>
      <c r="E37" s="12">
        <v>25932.1</v>
      </c>
      <c r="F37" s="12">
        <v>25932.7</v>
      </c>
      <c r="G37" s="12">
        <v>25932.7</v>
      </c>
      <c r="H37" s="10">
        <f>G37</f>
        <v>25932.7</v>
      </c>
      <c r="I37" s="10">
        <f>H37</f>
        <v>25932.7</v>
      </c>
      <c r="J37" s="10">
        <f>I37</f>
        <v>25932.7</v>
      </c>
      <c r="K37" s="10">
        <f>J37</f>
        <v>25932.7</v>
      </c>
      <c r="L37" s="10">
        <f>K37</f>
        <v>25932.7</v>
      </c>
    </row>
    <row r="38" spans="1:12" x14ac:dyDescent="0.2">
      <c r="B38" t="s">
        <v>17</v>
      </c>
      <c r="C38" s="13">
        <v>0.82</v>
      </c>
      <c r="D38" s="14">
        <f>D34/D37</f>
        <v>1.2465455471012676</v>
      </c>
      <c r="E38" s="13">
        <v>1.07</v>
      </c>
      <c r="F38" s="14">
        <f>44.67/32.79</f>
        <v>1.3623055809698079</v>
      </c>
      <c r="G38" s="14">
        <v>2.09</v>
      </c>
      <c r="H38" s="48">
        <f ca="1">H34/H37</f>
        <v>3.2231871253921449</v>
      </c>
      <c r="I38" s="48">
        <f ca="1">I34/I37</f>
        <v>3.7346584850843572</v>
      </c>
      <c r="J38" s="48">
        <f ca="1">J34/J37</f>
        <v>4.2064792811548619</v>
      </c>
      <c r="K38" s="48">
        <f ca="1">K34/K37</f>
        <v>4.6493689727986114</v>
      </c>
      <c r="L38" s="48">
        <f ca="1">L34/L37</f>
        <v>5.1648825087930224</v>
      </c>
    </row>
    <row r="39" spans="1:12" x14ac:dyDescent="0.2">
      <c r="B39" t="s">
        <v>24</v>
      </c>
      <c r="C39" s="12">
        <v>25930.3</v>
      </c>
      <c r="D39" s="12">
        <v>25930.3</v>
      </c>
      <c r="E39" s="12">
        <v>25932.1</v>
      </c>
      <c r="F39" s="12">
        <v>25932.7</v>
      </c>
      <c r="G39" s="12">
        <v>25932.7</v>
      </c>
      <c r="H39" s="10">
        <f>G39</f>
        <v>25932.7</v>
      </c>
      <c r="I39" s="10">
        <f>H39</f>
        <v>25932.7</v>
      </c>
      <c r="J39" s="10">
        <f>I39</f>
        <v>25932.7</v>
      </c>
      <c r="K39" s="10">
        <f>J39</f>
        <v>25932.7</v>
      </c>
      <c r="L39" s="10">
        <f>K39</f>
        <v>25932.7</v>
      </c>
    </row>
    <row r="40" spans="1:12" x14ac:dyDescent="0.2">
      <c r="B40" t="s">
        <v>23</v>
      </c>
      <c r="C40" s="13">
        <v>0.82</v>
      </c>
      <c r="D40" s="14">
        <f>D34/D39</f>
        <v>1.2465455471012676</v>
      </c>
      <c r="E40" s="13">
        <v>1.07</v>
      </c>
      <c r="F40" s="14">
        <f>44.67/32.79</f>
        <v>1.3623055809698079</v>
      </c>
      <c r="G40" s="14">
        <v>2.09</v>
      </c>
      <c r="H40" s="48">
        <f ca="1">H34/H39</f>
        <v>3.2231871253921449</v>
      </c>
      <c r="I40" s="48">
        <f ca="1">I34/I39</f>
        <v>3.7346584850843572</v>
      </c>
      <c r="J40" s="48">
        <f ca="1">J34/J39</f>
        <v>4.2064792811548619</v>
      </c>
      <c r="K40" s="48">
        <f ca="1">K34/K39</f>
        <v>4.6493689727986114</v>
      </c>
      <c r="L40" s="48">
        <f ca="1">L34/L39</f>
        <v>5.1648825087930224</v>
      </c>
    </row>
    <row r="41" spans="1:12" x14ac:dyDescent="0.2">
      <c r="H41" s="48"/>
      <c r="I41" s="48"/>
      <c r="J41" s="48"/>
      <c r="K41" s="48"/>
      <c r="L41" s="48"/>
    </row>
  </sheetData>
  <pageMargins left="0.7" right="0.7" top="0.75" bottom="0.75" header="0.3" footer="0.3"/>
  <pageSetup paperSize="9" orientation="portrait" horizontalDpi="0" verticalDpi="0"/>
  <ignoredErrors>
    <ignoredError sqref="H38:L38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8DDFA-5AA4-754B-B6CC-B40D0A8418BE}">
  <dimension ref="A1:XFD57"/>
  <sheetViews>
    <sheetView zoomScaleNormal="100" workbookViewId="0"/>
  </sheetViews>
  <sheetFormatPr baseColWidth="10" defaultRowHeight="16" x14ac:dyDescent="0.2"/>
  <cols>
    <col min="1" max="1" width="3.33203125" customWidth="1"/>
    <col min="2" max="2" width="43.6640625" customWidth="1"/>
    <col min="7" max="7" width="11.6640625" bestFit="1" customWidth="1"/>
  </cols>
  <sheetData>
    <row r="1" spans="1:12" ht="17" thickBot="1" x14ac:dyDescent="0.25"/>
    <row r="2" spans="1:12" ht="17" thickTop="1" x14ac:dyDescent="0.2">
      <c r="B2" s="6" t="s">
        <v>98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17" thickBot="1" x14ac:dyDescent="0.25">
      <c r="B3" s="8" t="s">
        <v>61</v>
      </c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17" thickTop="1" x14ac:dyDescent="0.2"/>
    <row r="5" spans="1:12" x14ac:dyDescent="0.2">
      <c r="C5" s="1">
        <f t="shared" ref="C5:E5" si="0">D5-1</f>
        <v>2021</v>
      </c>
      <c r="D5" s="1">
        <f t="shared" si="0"/>
        <v>2022</v>
      </c>
      <c r="E5" s="1">
        <f t="shared" si="0"/>
        <v>2023</v>
      </c>
      <c r="F5" s="1">
        <f>G5-1</f>
        <v>2024</v>
      </c>
      <c r="G5" s="1">
        <f>H5-1</f>
        <v>2025</v>
      </c>
      <c r="H5" s="4">
        <f>_xlfn.NUMBERVALUE(ReadMe!$C$10)</f>
        <v>2026</v>
      </c>
      <c r="I5" s="4">
        <f>H5+1</f>
        <v>2027</v>
      </c>
      <c r="J5" s="4">
        <f t="shared" ref="J5:L5" si="1">I5+1</f>
        <v>2028</v>
      </c>
      <c r="K5" s="4">
        <f t="shared" si="1"/>
        <v>2029</v>
      </c>
      <c r="L5" s="4">
        <f t="shared" si="1"/>
        <v>2030</v>
      </c>
    </row>
    <row r="6" spans="1:12" x14ac:dyDescent="0.2">
      <c r="A6" t="s">
        <v>210</v>
      </c>
      <c r="B6" s="1" t="s">
        <v>25</v>
      </c>
    </row>
    <row r="7" spans="1:12" x14ac:dyDescent="0.2">
      <c r="B7" s="1" t="s">
        <v>26</v>
      </c>
    </row>
    <row r="8" spans="1:12" x14ac:dyDescent="0.2">
      <c r="B8" s="17" t="s">
        <v>27</v>
      </c>
      <c r="C8" s="12">
        <v>38391.9</v>
      </c>
      <c r="D8" s="12">
        <v>43697.2</v>
      </c>
      <c r="E8" s="12">
        <v>47858.5</v>
      </c>
      <c r="F8" s="12">
        <v>64886.5</v>
      </c>
      <c r="G8" s="12">
        <v>88232.6</v>
      </c>
      <c r="H8" s="10">
        <f ca="1">CF!H36</f>
        <v>118532.81467753375</v>
      </c>
      <c r="I8" s="10">
        <f ca="1">CF!I36</f>
        <v>165383.22742945291</v>
      </c>
      <c r="J8" s="10">
        <f ca="1">CF!J36</f>
        <v>226697.47546298997</v>
      </c>
      <c r="K8" s="10">
        <f ca="1">CF!K36</f>
        <v>300990.01649482694</v>
      </c>
      <c r="L8" s="10">
        <f ca="1">CF!L36</f>
        <v>391679.65787178581</v>
      </c>
    </row>
    <row r="9" spans="1:12" x14ac:dyDescent="0.2">
      <c r="B9" s="17" t="s">
        <v>28</v>
      </c>
      <c r="C9" s="12">
        <f>5.7+4308.5+136+0.5</f>
        <v>4450.7</v>
      </c>
      <c r="D9" s="12">
        <f>34.8+4002.6+3078.4+0.1</f>
        <v>7115.9000000000005</v>
      </c>
      <c r="E9" s="12">
        <f>30.2+5046.7+2180.3+0</f>
        <v>7257.2</v>
      </c>
      <c r="F9" s="12">
        <f>6.3+5861.6+3109.8+0.3</f>
        <v>8978</v>
      </c>
      <c r="G9" s="12">
        <f>3.2+5600.7+3983+0</f>
        <v>9586.9</v>
      </c>
      <c r="H9" s="10">
        <f>Securities!H8</f>
        <v>9586.9</v>
      </c>
      <c r="I9" s="10">
        <f>Securities!I8</f>
        <v>9586.9</v>
      </c>
      <c r="J9" s="10">
        <f>Securities!J8</f>
        <v>9586.9</v>
      </c>
      <c r="K9" s="10">
        <f>Securities!K8</f>
        <v>9586.9</v>
      </c>
      <c r="L9" s="10">
        <f>Securities!L8</f>
        <v>9586.9</v>
      </c>
    </row>
    <row r="10" spans="1:12" x14ac:dyDescent="0.2">
      <c r="B10" s="17" t="s">
        <v>29</v>
      </c>
      <c r="C10" s="12">
        <f>7122.8+25.8+2.2</f>
        <v>7150.8</v>
      </c>
      <c r="D10" s="12">
        <f>7476.6+51.5+2.3</f>
        <v>7530.4000000000005</v>
      </c>
      <c r="E10" s="12">
        <f>6574.6+20.4+2.3</f>
        <v>6597.3</v>
      </c>
      <c r="F10" s="12">
        <f>8255.1+42.8+0</f>
        <v>8297.9</v>
      </c>
      <c r="G10" s="12">
        <f>8895.5+87.3+8.5</f>
        <v>8991.2999999999993</v>
      </c>
      <c r="H10" s="10">
        <f>WC_Schedule!H6</f>
        <v>14071.819315068493</v>
      </c>
      <c r="I10" s="10">
        <f>WC_Schedule!I6</f>
        <v>16745.464984931503</v>
      </c>
      <c r="J10" s="10">
        <f>WC_Schedule!J6</f>
        <v>19424.739382520544</v>
      </c>
      <c r="K10" s="10">
        <f>WC_Schedule!K6</f>
        <v>22144.202896073421</v>
      </c>
      <c r="L10" s="10">
        <f>WC_Schedule!L6</f>
        <v>24801.507243602235</v>
      </c>
    </row>
    <row r="11" spans="1:12" x14ac:dyDescent="0.2">
      <c r="B11" s="17" t="s">
        <v>30</v>
      </c>
      <c r="C11" s="12">
        <v>6961.2</v>
      </c>
      <c r="D11" s="12">
        <v>7196.5</v>
      </c>
      <c r="E11" s="12">
        <v>8197.2000000000007</v>
      </c>
      <c r="F11" s="12">
        <v>8779.2000000000007</v>
      </c>
      <c r="G11" s="12">
        <v>9184.2000000000007</v>
      </c>
      <c r="H11" s="10">
        <f>WC_Schedule!H7</f>
        <v>13874.81384465753</v>
      </c>
      <c r="I11" s="10">
        <f>WC_Schedule!I7</f>
        <v>17080.374284630132</v>
      </c>
      <c r="J11" s="10">
        <f>WC_Schedule!J7</f>
        <v>20175.829305311338</v>
      </c>
      <c r="K11" s="10">
        <f>WC_Schedule!K7</f>
        <v>23620.483089144982</v>
      </c>
      <c r="L11" s="10">
        <f>WC_Schedule!L7</f>
        <v>27116.314586338445</v>
      </c>
    </row>
    <row r="12" spans="1:12" x14ac:dyDescent="0.2">
      <c r="B12" s="17" t="s">
        <v>31</v>
      </c>
      <c r="C12" s="12">
        <f>599.5+379.3</f>
        <v>978.8</v>
      </c>
      <c r="D12" s="12">
        <f>844.9+419.4</f>
        <v>1264.3</v>
      </c>
      <c r="E12" s="12">
        <f>887+856.4</f>
        <v>1743.4</v>
      </c>
      <c r="F12" s="12">
        <f>1925.6+1318.6</f>
        <v>3244.2</v>
      </c>
      <c r="G12" s="12">
        <f>1903.2+3782.7</f>
        <v>5685.9</v>
      </c>
      <c r="H12" s="10">
        <f>WC_Schedule!H10</f>
        <v>6848.2853999999998</v>
      </c>
      <c r="I12" s="10">
        <f>WC_Schedule!I10</f>
        <v>7741.9866446999986</v>
      </c>
      <c r="J12" s="10">
        <f>WC_Schedule!J10</f>
        <v>8271.7015203899991</v>
      </c>
      <c r="K12" s="10">
        <f>WC_Schedule!K10</f>
        <v>8890.8974627734788</v>
      </c>
      <c r="L12" s="10">
        <f>WC_Schedule!L10</f>
        <v>9052.5501439148156</v>
      </c>
    </row>
    <row r="13" spans="1:12" x14ac:dyDescent="0.2">
      <c r="B13" s="15" t="s">
        <v>32</v>
      </c>
      <c r="C13" s="21">
        <v>57933.4</v>
      </c>
      <c r="D13" s="21">
        <v>66804.3</v>
      </c>
      <c r="E13" s="21">
        <v>71653.600000000006</v>
      </c>
      <c r="F13" s="21">
        <v>94185.8</v>
      </c>
      <c r="G13" s="21">
        <v>121680.9</v>
      </c>
      <c r="H13" s="24">
        <f ca="1">SUM(H8:H12)</f>
        <v>162914.63323725975</v>
      </c>
      <c r="I13" s="24">
        <f ca="1">SUM(I8:I12)</f>
        <v>216537.95334371453</v>
      </c>
      <c r="J13" s="24">
        <f ca="1">SUM(J8:J12)</f>
        <v>284156.64567121182</v>
      </c>
      <c r="K13" s="24">
        <f ca="1">SUM(K8:K12)</f>
        <v>365232.49994281883</v>
      </c>
      <c r="L13" s="24">
        <f ca="1">SUM(L8:L12)</f>
        <v>462236.92984564137</v>
      </c>
    </row>
    <row r="14" spans="1:12" x14ac:dyDescent="0.2">
      <c r="C14" s="12"/>
      <c r="D14" s="12"/>
      <c r="E14" s="12"/>
      <c r="F14" s="12"/>
      <c r="G14" s="12"/>
    </row>
    <row r="15" spans="1:12" x14ac:dyDescent="0.2">
      <c r="B15" s="1" t="s">
        <v>33</v>
      </c>
      <c r="C15" s="12"/>
      <c r="D15" s="12"/>
      <c r="E15" s="12"/>
      <c r="F15" s="12"/>
      <c r="G15" s="12"/>
    </row>
    <row r="16" spans="1:12" x14ac:dyDescent="0.2">
      <c r="B16" s="17" t="s">
        <v>34</v>
      </c>
      <c r="C16" s="12">
        <v>71201.100000000006</v>
      </c>
      <c r="D16" s="12">
        <v>87661.5</v>
      </c>
      <c r="E16" s="12">
        <v>100080.9</v>
      </c>
      <c r="F16" s="12">
        <v>98657.5</v>
      </c>
      <c r="G16" s="12">
        <v>117687</v>
      </c>
      <c r="H16" s="10">
        <f>'PP&amp;E'!H10</f>
        <v>151928.427</v>
      </c>
      <c r="I16" s="10">
        <f>'PP&amp;E'!I10</f>
        <v>182488.9005975</v>
      </c>
      <c r="J16" s="10">
        <f>'PP&amp;E'!J10</f>
        <v>208485.67680443998</v>
      </c>
      <c r="K16" s="10">
        <f>'PP&amp;E'!K10</f>
        <v>230039.36762328478</v>
      </c>
      <c r="L16" s="10">
        <f>'PP&amp;E'!L10</f>
        <v>245126.95119647615</v>
      </c>
    </row>
    <row r="17" spans="1:12 16384:16384" x14ac:dyDescent="0.2">
      <c r="B17" s="17" t="s">
        <v>35</v>
      </c>
      <c r="C17" s="12">
        <v>966.9</v>
      </c>
      <c r="D17" s="12">
        <v>846.1</v>
      </c>
      <c r="E17" s="12">
        <v>743.5</v>
      </c>
      <c r="F17" s="12">
        <v>801.5</v>
      </c>
      <c r="G17" s="12">
        <v>795.4</v>
      </c>
      <c r="H17" s="10">
        <f>G17</f>
        <v>795.4</v>
      </c>
      <c r="I17" s="10">
        <f>H17</f>
        <v>795.4</v>
      </c>
      <c r="J17" s="10">
        <f>I17</f>
        <v>795.4</v>
      </c>
      <c r="K17" s="10">
        <f>J17</f>
        <v>795.4</v>
      </c>
      <c r="L17" s="10">
        <f>K17</f>
        <v>795.4</v>
      </c>
    </row>
    <row r="18" spans="1:12 16384:16384" x14ac:dyDescent="0.2">
      <c r="B18" s="17" t="s">
        <v>36</v>
      </c>
      <c r="C18" s="12">
        <f>212.3+55.3</f>
        <v>267.60000000000002</v>
      </c>
      <c r="D18" s="12">
        <f>200.4+1143.1</f>
        <v>1343.5</v>
      </c>
      <c r="E18" s="12">
        <f>438.2+235.4+2586.5</f>
        <v>3260.1</v>
      </c>
      <c r="F18" s="12">
        <f>463.6+238.6+2701.9</f>
        <v>3404.1000000000004</v>
      </c>
      <c r="G18" s="12">
        <f>479.2+280.5+3522.7</f>
        <v>4282.3999999999996</v>
      </c>
      <c r="H18" s="10">
        <f>Securities!H18</f>
        <v>4282.3999999999996</v>
      </c>
      <c r="I18" s="10">
        <f>Securities!I18</f>
        <v>4282.3999999999996</v>
      </c>
      <c r="J18" s="10">
        <f>Securities!J18</f>
        <v>4282.3999999999996</v>
      </c>
      <c r="K18" s="10">
        <f>Securities!K18</f>
        <v>4282.3999999999996</v>
      </c>
      <c r="L18" s="10">
        <f>Securities!L18</f>
        <v>4282.3999999999996</v>
      </c>
      <c r="XFD18" s="10"/>
    </row>
    <row r="19" spans="1:12 16384:16384" x14ac:dyDescent="0.2">
      <c r="B19" s="17" t="s">
        <v>37</v>
      </c>
      <c r="C19" s="12">
        <f>784.5+1180+1772+94.6+93.4</f>
        <v>3924.5</v>
      </c>
      <c r="D19" s="12">
        <f>889.1+1363.9+2251.4+145.4+245.7</f>
        <v>4895.4999999999991</v>
      </c>
      <c r="E19" s="12">
        <f>961.5+1320.2+2095.9+230.1+326.9</f>
        <v>4934.6000000000004</v>
      </c>
      <c r="F19" s="12">
        <f>1135.9+1223.8+2011.1+167.6+2492.1</f>
        <v>7030.5</v>
      </c>
      <c r="G19" s="12">
        <f>1206.6+1400+2006.4+135.3+3685.9</f>
        <v>8434.2000000000007</v>
      </c>
      <c r="H19" s="10">
        <f>G19</f>
        <v>8434.2000000000007</v>
      </c>
      <c r="I19" s="10">
        <f>H19</f>
        <v>8434.2000000000007</v>
      </c>
      <c r="J19" s="10">
        <f>I19</f>
        <v>8434.2000000000007</v>
      </c>
      <c r="K19" s="10">
        <f>J19</f>
        <v>8434.2000000000007</v>
      </c>
      <c r="L19" s="10">
        <f>K19</f>
        <v>8434.2000000000007</v>
      </c>
      <c r="XFD19" s="10"/>
    </row>
    <row r="20" spans="1:12 16384:16384" x14ac:dyDescent="0.2">
      <c r="B20" s="15" t="s">
        <v>38</v>
      </c>
      <c r="C20" s="21">
        <v>76360.100000000006</v>
      </c>
      <c r="D20" s="21">
        <v>94746.6</v>
      </c>
      <c r="E20" s="21">
        <v>109019.1</v>
      </c>
      <c r="F20" s="21">
        <v>109893.6</v>
      </c>
      <c r="G20" s="21">
        <v>131199</v>
      </c>
      <c r="H20" s="24">
        <f>SUM(H16:H19)</f>
        <v>165440.427</v>
      </c>
      <c r="I20" s="24">
        <f>SUM(I16:I19)</f>
        <v>196000.9005975</v>
      </c>
      <c r="J20" s="24">
        <f>SUM(J16:J19)</f>
        <v>221997.67680443998</v>
      </c>
      <c r="K20" s="24">
        <f>SUM(K16:K19)</f>
        <v>243551.36762328478</v>
      </c>
      <c r="L20" s="24">
        <f>SUM(L16:L19)</f>
        <v>258638.95119647615</v>
      </c>
    </row>
    <row r="21" spans="1:12 16384:16384" x14ac:dyDescent="0.2">
      <c r="C21" s="12"/>
      <c r="D21" s="12"/>
      <c r="E21" s="12"/>
      <c r="F21" s="12"/>
      <c r="G21" s="12"/>
    </row>
    <row r="22" spans="1:12 16384:16384" x14ac:dyDescent="0.2">
      <c r="B22" s="15" t="s">
        <v>39</v>
      </c>
      <c r="C22" s="21">
        <v>134293.5</v>
      </c>
      <c r="D22" s="21">
        <v>161550.9</v>
      </c>
      <c r="E22" s="21">
        <v>180672.7</v>
      </c>
      <c r="F22" s="21">
        <v>204079.4</v>
      </c>
      <c r="G22" s="21">
        <v>252879.9</v>
      </c>
      <c r="H22" s="24">
        <f ca="1">H20+H13</f>
        <v>328355.06023725972</v>
      </c>
      <c r="I22" s="24">
        <f ca="1">I20+I13</f>
        <v>412538.8539412145</v>
      </c>
      <c r="J22" s="24">
        <f ca="1">J20+J13</f>
        <v>506154.3224756518</v>
      </c>
      <c r="K22" s="24">
        <f ca="1">K20+K13</f>
        <v>608783.86756610358</v>
      </c>
      <c r="L22" s="24">
        <f ca="1">L20+L13</f>
        <v>720875.88104211749</v>
      </c>
    </row>
    <row r="23" spans="1:12 16384:16384" x14ac:dyDescent="0.2">
      <c r="C23" s="12"/>
      <c r="D23" s="12"/>
      <c r="E23" s="12"/>
      <c r="F23" s="12"/>
      <c r="G23" s="12"/>
    </row>
    <row r="24" spans="1:12 16384:16384" x14ac:dyDescent="0.2">
      <c r="A24" t="s">
        <v>210</v>
      </c>
      <c r="B24" s="1" t="s">
        <v>40</v>
      </c>
      <c r="C24" s="12"/>
      <c r="D24" s="12"/>
      <c r="E24" s="12"/>
      <c r="F24" s="12"/>
      <c r="G24" s="12"/>
    </row>
    <row r="25" spans="1:12 16384:16384" x14ac:dyDescent="0.2">
      <c r="B25" s="1" t="s">
        <v>41</v>
      </c>
      <c r="C25" s="12"/>
      <c r="D25" s="12"/>
      <c r="E25" s="12"/>
      <c r="F25" s="12"/>
      <c r="G25" s="12"/>
    </row>
    <row r="26" spans="1:12 16384:16384" x14ac:dyDescent="0.2">
      <c r="B26" s="18" t="s">
        <v>42</v>
      </c>
      <c r="C26" s="12">
        <f>4142.8+164.6</f>
        <v>4307.4000000000005</v>
      </c>
      <c r="D26" s="12">
        <f>0+628.5</f>
        <v>628.5</v>
      </c>
      <c r="E26" s="12">
        <f>303.5</f>
        <v>303.5</v>
      </c>
      <c r="F26" s="12">
        <f>0+1825.5</f>
        <v>1825.5</v>
      </c>
      <c r="G26" s="12">
        <f>0+4364.9</f>
        <v>4364.8999999999996</v>
      </c>
      <c r="H26" s="10">
        <f>G26+Assumptions!C41</f>
        <v>4364.8999999999996</v>
      </c>
      <c r="I26" s="10">
        <f>H26+Assumptions!D41</f>
        <v>4364.8999999999996</v>
      </c>
      <c r="J26" s="10">
        <f>I26+Assumptions!E41</f>
        <v>4364.8999999999996</v>
      </c>
      <c r="K26" s="10">
        <f>J26+Assumptions!F41</f>
        <v>4364.8999999999996</v>
      </c>
      <c r="L26" s="10">
        <f>K26+Assumptions!G41</f>
        <v>4364.8999999999996</v>
      </c>
    </row>
    <row r="27" spans="1:12 16384:16384" x14ac:dyDescent="0.2">
      <c r="B27" s="18" t="s">
        <v>43</v>
      </c>
      <c r="C27" s="12">
        <f>1704.6+51.8+5253.9</f>
        <v>7010.2999999999993</v>
      </c>
      <c r="D27" s="12">
        <f>1785.9+53.4+6947.6</f>
        <v>8786.9000000000015</v>
      </c>
      <c r="E27" s="12">
        <f>1819.9+51.2+5600.4</f>
        <v>7471.5</v>
      </c>
      <c r="F27" s="12">
        <f>2220.2+43.5+5874.8</f>
        <v>8138.5</v>
      </c>
      <c r="G27" s="12">
        <f>2631.6+56.7+5665.6</f>
        <v>8353.9</v>
      </c>
      <c r="H27" s="10">
        <f>WC_Schedule!H8</f>
        <v>10366.240228767121</v>
      </c>
      <c r="I27" s="10">
        <f>WC_Schedule!I8</f>
        <v>13061.462688246571</v>
      </c>
      <c r="J27" s="10">
        <f>WC_Schedule!J8</f>
        <v>15993.035424941914</v>
      </c>
      <c r="K27" s="10">
        <f>WC_Schedule!K8</f>
        <v>19191.642509930298</v>
      </c>
      <c r="L27" s="10">
        <f>WC_Schedule!L8</f>
        <v>22032.005601399989</v>
      </c>
    </row>
    <row r="28" spans="1:12 16384:16384" x14ac:dyDescent="0.2">
      <c r="B28" s="18" t="s">
        <v>44</v>
      </c>
      <c r="C28" s="12">
        <f>858+1316.7+5849.7</f>
        <v>8024.4</v>
      </c>
      <c r="D28" s="12">
        <f>1185.7+2009.4+9540.2</f>
        <v>12735.300000000001</v>
      </c>
      <c r="E28" s="12">
        <f>1084.3+1656.3+9688.7</f>
        <v>12429.300000000001</v>
      </c>
      <c r="F28" s="12">
        <f>1447.1+2161.4+13759</f>
        <v>17367.5</v>
      </c>
      <c r="G28" s="12">
        <f>2036.1+3294.7+12786.9</f>
        <v>18117.699999999997</v>
      </c>
      <c r="H28" s="10">
        <f>WC_Schedule!H9</f>
        <v>21760.426858499999</v>
      </c>
      <c r="I28" s="10">
        <f>WC_Schedule!I9</f>
        <v>25894.907961614997</v>
      </c>
      <c r="J28" s="10">
        <f>WC_Schedule!J9</f>
        <v>30038.093235473389</v>
      </c>
      <c r="K28" s="10">
        <f>WC_Schedule!K9</f>
        <v>34243.426288439667</v>
      </c>
      <c r="L28" s="10">
        <f>WC_Schedule!L9</f>
        <v>38352.637443052437</v>
      </c>
    </row>
    <row r="29" spans="1:12 16384:16384" x14ac:dyDescent="0.2">
      <c r="B29" s="18" t="s">
        <v>45</v>
      </c>
      <c r="C29" s="12">
        <f>24.6+0.3+5141.2+2829.7</f>
        <v>7995.7999999999993</v>
      </c>
      <c r="D29" s="12">
        <f>3.8+0+4641+5308.8</f>
        <v>9953.6</v>
      </c>
      <c r="E29" s="12">
        <f>4+892.7+5504.8+4184.7</f>
        <v>10586.2</v>
      </c>
      <c r="F29" s="12">
        <f>14.2+0+6722.2+5842.3</f>
        <v>12578.7</v>
      </c>
      <c r="G29" s="12">
        <f>98.3+0+9093.3+8502.8</f>
        <v>17694.399999999998</v>
      </c>
      <c r="H29" s="10">
        <f>WC_Schedule!H11</f>
        <v>24825.034574999994</v>
      </c>
      <c r="I29" s="10">
        <f>WC_Schedule!I11</f>
        <v>29541.791144249994</v>
      </c>
      <c r="J29" s="10">
        <f>WC_Schedule!J11</f>
        <v>34268.477727329991</v>
      </c>
      <c r="K29" s="10">
        <f>WC_Schedule!K11</f>
        <v>39066.064609156194</v>
      </c>
      <c r="L29" s="10">
        <f>WC_Schedule!L11</f>
        <v>43753.99236225494</v>
      </c>
    </row>
    <row r="30" spans="1:12 16384:16384" x14ac:dyDescent="0.2">
      <c r="B30" s="15" t="s">
        <v>46</v>
      </c>
      <c r="C30" s="21">
        <v>27337.9</v>
      </c>
      <c r="D30" s="21">
        <v>32104.3</v>
      </c>
      <c r="E30" s="21">
        <v>30790.5</v>
      </c>
      <c r="F30" s="21">
        <v>39910.199999999997</v>
      </c>
      <c r="G30" s="21">
        <v>48530.9</v>
      </c>
      <c r="H30" s="24">
        <f>SUM(H26:H29)</f>
        <v>61316.601662267116</v>
      </c>
      <c r="I30" s="24">
        <f>SUM(I26:I29)</f>
        <v>72863.061794111563</v>
      </c>
      <c r="J30" s="24">
        <f>SUM(J26:J29)</f>
        <v>84664.506387745292</v>
      </c>
      <c r="K30" s="24">
        <f>SUM(K26:K29)</f>
        <v>96866.033407526149</v>
      </c>
      <c r="L30" s="24">
        <f>SUM(L26:L29)</f>
        <v>108503.53540670736</v>
      </c>
    </row>
    <row r="31" spans="1:12 16384:16384" x14ac:dyDescent="0.2">
      <c r="C31" s="12"/>
      <c r="D31" s="12"/>
      <c r="E31" s="12"/>
      <c r="F31" s="12"/>
      <c r="G31" s="12"/>
    </row>
    <row r="32" spans="1:12 16384:16384" x14ac:dyDescent="0.2">
      <c r="B32" s="1" t="s">
        <v>47</v>
      </c>
      <c r="C32" s="12"/>
      <c r="D32" s="12"/>
      <c r="E32" s="12"/>
      <c r="F32" s="12"/>
      <c r="G32" s="12"/>
    </row>
    <row r="33" spans="2:12" x14ac:dyDescent="0.2">
      <c r="B33" s="17" t="s">
        <v>48</v>
      </c>
      <c r="C33" s="12">
        <f>21992.4+119.3</f>
        <v>22111.7</v>
      </c>
      <c r="D33" s="12">
        <f>27150.4+154.9</f>
        <v>27305.300000000003</v>
      </c>
      <c r="E33" s="12">
        <f>29846.4+143.1</f>
        <v>29989.5</v>
      </c>
      <c r="F33" s="12">
        <f>28258.7+970.5</f>
        <v>29229.200000000001</v>
      </c>
      <c r="G33" s="12">
        <f>27294.5+1269.8</f>
        <v>28564.3</v>
      </c>
      <c r="H33" s="10">
        <f>G33+Assumptions!C40</f>
        <v>28564.3</v>
      </c>
      <c r="I33" s="10">
        <f>H33+Assumptions!D40</f>
        <v>28564.3</v>
      </c>
      <c r="J33" s="10">
        <f>I33+Assumptions!E40</f>
        <v>28564.3</v>
      </c>
      <c r="K33" s="10">
        <f>J33+Assumptions!F40</f>
        <v>28564.3</v>
      </c>
      <c r="L33" s="10">
        <f>K33+Assumptions!G40</f>
        <v>28564.3</v>
      </c>
    </row>
    <row r="34" spans="2:12" x14ac:dyDescent="0.2">
      <c r="B34" s="17" t="s">
        <v>49</v>
      </c>
      <c r="C34" s="12">
        <v>748.5</v>
      </c>
      <c r="D34" s="12">
        <v>968.6</v>
      </c>
      <c r="E34" s="12">
        <v>936.7</v>
      </c>
      <c r="F34" s="12">
        <v>877</v>
      </c>
      <c r="G34" s="12">
        <v>1007.2</v>
      </c>
      <c r="H34" s="10">
        <f>G34</f>
        <v>1007.2</v>
      </c>
      <c r="I34" s="10">
        <f>H34</f>
        <v>1007.2</v>
      </c>
      <c r="J34" s="10">
        <f>I34</f>
        <v>1007.2</v>
      </c>
      <c r="K34" s="10">
        <f>J34</f>
        <v>1007.2</v>
      </c>
      <c r="L34" s="10">
        <f>K34</f>
        <v>1007.2</v>
      </c>
    </row>
    <row r="35" spans="2:12" x14ac:dyDescent="0.2">
      <c r="B35" s="17" t="s">
        <v>50</v>
      </c>
      <c r="C35" s="12">
        <v>67.599999999999994</v>
      </c>
      <c r="D35" s="12">
        <v>33.700000000000003</v>
      </c>
      <c r="E35" s="12">
        <v>1.9</v>
      </c>
      <c r="F35" s="12">
        <v>121.6</v>
      </c>
      <c r="G35" s="12">
        <v>124</v>
      </c>
      <c r="H35" s="10">
        <f ca="1">H22-H30-(H33+H34+H36)-H49</f>
        <v>123.9999999999709</v>
      </c>
      <c r="I35" s="10">
        <f ca="1">I22-I30-(I33+I34+I36)-I49</f>
        <v>123.99999999994179</v>
      </c>
      <c r="J35" s="10">
        <f ca="1">J22-J30-(J33+J34+J36)-J49</f>
        <v>124</v>
      </c>
      <c r="K35" s="10">
        <f ca="1">K22-K30-(K33+K34+K36)-K49</f>
        <v>124</v>
      </c>
      <c r="L35" s="10">
        <f ca="1">L22-L30-(L33+L34+L36)-L49</f>
        <v>124.00000000011642</v>
      </c>
    </row>
    <row r="36" spans="2:12" x14ac:dyDescent="0.2">
      <c r="B36" s="17" t="s">
        <v>51</v>
      </c>
      <c r="C36" s="12">
        <f>397.9+24.8+6039.1</f>
        <v>6461.8</v>
      </c>
      <c r="D36" s="12">
        <f>303.3+29+5856.1</f>
        <v>6188.4000000000005</v>
      </c>
      <c r="E36" s="12">
        <f>302.3+30.2+5823.8</f>
        <v>6156.3</v>
      </c>
      <c r="F36" s="12">
        <f>231.2+25.8+3179</f>
        <v>3436</v>
      </c>
      <c r="G36" s="12">
        <f>191.6+24.3+2419.1</f>
        <v>2635</v>
      </c>
      <c r="H36" s="10">
        <f>G36</f>
        <v>2635</v>
      </c>
      <c r="I36" s="10">
        <f>H36</f>
        <v>2635</v>
      </c>
      <c r="J36" s="10">
        <f>I36</f>
        <v>2635</v>
      </c>
      <c r="K36" s="10">
        <f>J36</f>
        <v>2635</v>
      </c>
      <c r="L36" s="10">
        <f>K36</f>
        <v>2635</v>
      </c>
    </row>
    <row r="37" spans="2:12" x14ac:dyDescent="0.2">
      <c r="B37" s="15" t="s">
        <v>60</v>
      </c>
      <c r="C37" s="21">
        <v>29389.599999999999</v>
      </c>
      <c r="D37" s="21">
        <v>34496</v>
      </c>
      <c r="E37" s="21">
        <v>37084.400000000001</v>
      </c>
      <c r="F37" s="21">
        <v>33663.800000000003</v>
      </c>
      <c r="G37" s="21">
        <v>32330.5</v>
      </c>
      <c r="H37" s="24">
        <f ca="1">SUM(H33:H36)</f>
        <v>32330.499999999971</v>
      </c>
      <c r="I37" s="24">
        <f ca="1">SUM(I33:I36)</f>
        <v>32330.499999999942</v>
      </c>
      <c r="J37" s="24">
        <f ca="1">SUM(J33:J36)</f>
        <v>32330.5</v>
      </c>
      <c r="K37" s="24">
        <f ca="1">SUM(K33:K36)</f>
        <v>32330.5</v>
      </c>
      <c r="L37" s="24">
        <f ca="1">SUM(L33:L36)</f>
        <v>32330.500000000116</v>
      </c>
    </row>
    <row r="38" spans="2:12" x14ac:dyDescent="0.2">
      <c r="C38" s="12"/>
      <c r="D38" s="12"/>
      <c r="E38" s="12"/>
      <c r="F38" s="12"/>
      <c r="G38" s="12"/>
    </row>
    <row r="39" spans="2:12" x14ac:dyDescent="0.2">
      <c r="B39" s="15" t="s">
        <v>52</v>
      </c>
      <c r="C39" s="21">
        <v>56727.5</v>
      </c>
      <c r="D39" s="21">
        <v>66600.3</v>
      </c>
      <c r="E39" s="21">
        <v>67874.899999999994</v>
      </c>
      <c r="F39" s="21">
        <v>73574</v>
      </c>
      <c r="G39" s="21">
        <v>80861.399999999994</v>
      </c>
      <c r="H39" s="24">
        <f ca="1">H37+H30</f>
        <v>93647.101662267087</v>
      </c>
      <c r="I39" s="24">
        <f ca="1">I37+I30</f>
        <v>105193.56179411151</v>
      </c>
      <c r="J39" s="24">
        <f ca="1">J37+J30</f>
        <v>116995.00638774529</v>
      </c>
      <c r="K39" s="24">
        <f ca="1">K37+K30</f>
        <v>129196.53340752615</v>
      </c>
      <c r="L39" s="24">
        <f ca="1">L37+L30</f>
        <v>140834.03540670749</v>
      </c>
    </row>
    <row r="40" spans="2:12" x14ac:dyDescent="0.2">
      <c r="C40" s="12"/>
      <c r="D40" s="12"/>
      <c r="E40" s="12"/>
      <c r="F40" s="12"/>
      <c r="G40" s="12"/>
    </row>
    <row r="41" spans="2:12" x14ac:dyDescent="0.2">
      <c r="B41" s="1" t="s">
        <v>53</v>
      </c>
      <c r="C41" s="12"/>
      <c r="D41" s="12"/>
      <c r="E41" s="12"/>
      <c r="F41" s="12"/>
      <c r="G41" s="12"/>
    </row>
    <row r="42" spans="2:12" x14ac:dyDescent="0.2">
      <c r="B42" s="17" t="s">
        <v>54</v>
      </c>
      <c r="C42" s="12">
        <v>9347.7000000000007</v>
      </c>
      <c r="D42" s="12">
        <v>8438.1</v>
      </c>
      <c r="E42" s="12">
        <v>8469</v>
      </c>
      <c r="F42" s="12">
        <v>7908.7</v>
      </c>
      <c r="G42" s="12">
        <v>8266.6</v>
      </c>
      <c r="H42" s="10">
        <f t="shared" ref="H42:L43" si="2">G42</f>
        <v>8266.6</v>
      </c>
      <c r="I42" s="10">
        <f t="shared" si="2"/>
        <v>8266.6</v>
      </c>
      <c r="J42" s="10">
        <f t="shared" si="2"/>
        <v>8266.6</v>
      </c>
      <c r="K42" s="10">
        <f t="shared" si="2"/>
        <v>8266.6</v>
      </c>
      <c r="L42" s="10">
        <f t="shared" si="2"/>
        <v>8266.6</v>
      </c>
    </row>
    <row r="43" spans="2:12" x14ac:dyDescent="0.2">
      <c r="B43" s="18" t="s">
        <v>55</v>
      </c>
      <c r="C43" s="12">
        <v>2334.6</v>
      </c>
      <c r="D43" s="12">
        <v>2256.1</v>
      </c>
      <c r="E43" s="12">
        <v>2282.1</v>
      </c>
      <c r="F43" s="12">
        <v>2234.1999999999998</v>
      </c>
      <c r="G43" s="12">
        <v>2341.3000000000002</v>
      </c>
      <c r="H43" s="10">
        <f t="shared" si="2"/>
        <v>2341.3000000000002</v>
      </c>
      <c r="I43" s="10">
        <f t="shared" si="2"/>
        <v>2341.3000000000002</v>
      </c>
      <c r="J43" s="10">
        <f t="shared" si="2"/>
        <v>2341.3000000000002</v>
      </c>
      <c r="K43" s="10">
        <f t="shared" si="2"/>
        <v>2341.3000000000002</v>
      </c>
      <c r="L43" s="10">
        <f t="shared" si="2"/>
        <v>2341.3000000000002</v>
      </c>
    </row>
    <row r="44" spans="2:12" x14ac:dyDescent="0.2">
      <c r="B44" s="17" t="s">
        <v>56</v>
      </c>
      <c r="C44" s="12">
        <f>11216.5+2137.9+54699</f>
        <v>68053.399999999994</v>
      </c>
      <c r="D44" s="12">
        <f>10125.2+102.6+74213.8</f>
        <v>84441.600000000006</v>
      </c>
      <c r="E44" s="12">
        <f>10161.5+0+92014.8</f>
        <v>102176.3</v>
      </c>
      <c r="F44" s="12">
        <f>9489.1+108625.4</f>
        <v>118114.5</v>
      </c>
      <c r="G44" s="12">
        <f>9918.6+2782.4+147928.4</f>
        <v>160629.4</v>
      </c>
      <c r="H44" s="10">
        <f ca="1">G44+IS!H34+CF!H27</f>
        <v>223318.85857499266</v>
      </c>
      <c r="I44" s="10">
        <f ca="1">H44+IS!I34+CF!I27</f>
        <v>295956.19214710296</v>
      </c>
      <c r="J44" s="10">
        <f ca="1">I44+IS!J34+CF!J27</f>
        <v>377770.21608790645</v>
      </c>
      <c r="K44" s="10">
        <f ca="1">J44+IS!K34+CF!K27</f>
        <v>468198.2341585774</v>
      </c>
      <c r="L44" s="10">
        <f ca="1">K44+IS!L34+CF!L27</f>
        <v>568652.74563540996</v>
      </c>
    </row>
    <row r="45" spans="2:12" x14ac:dyDescent="0.2">
      <c r="B45" s="17" t="s">
        <v>57</v>
      </c>
      <c r="C45" s="12">
        <v>-2257</v>
      </c>
      <c r="D45" s="12">
        <v>-667.2</v>
      </c>
      <c r="E45" s="12">
        <v>-924.7</v>
      </c>
      <c r="F45" s="12">
        <v>1180.4000000000001</v>
      </c>
      <c r="G45" s="12">
        <v>-531.6</v>
      </c>
      <c r="H45" s="10">
        <f>G45</f>
        <v>-531.6</v>
      </c>
      <c r="I45" s="10">
        <f>H45</f>
        <v>-531.6</v>
      </c>
      <c r="J45" s="10">
        <f>I45</f>
        <v>-531.6</v>
      </c>
      <c r="K45" s="10">
        <f>J45</f>
        <v>-531.6</v>
      </c>
      <c r="L45" s="10">
        <f>K45</f>
        <v>-531.6</v>
      </c>
    </row>
    <row r="46" spans="2:12" x14ac:dyDescent="0.2">
      <c r="B46" s="17" t="s">
        <v>62</v>
      </c>
      <c r="C46" s="12">
        <v>77478.7</v>
      </c>
      <c r="D46" s="12">
        <v>94468.6</v>
      </c>
      <c r="E46" s="12">
        <v>112002.7</v>
      </c>
      <c r="F46" s="12">
        <v>129437.8</v>
      </c>
      <c r="G46" s="12">
        <v>170705.7</v>
      </c>
      <c r="H46" s="10">
        <f ca="1">SUM(H42:H45)</f>
        <v>233395.15857499265</v>
      </c>
      <c r="I46" s="10">
        <f ca="1">SUM(I42:I45)</f>
        <v>306032.49214710301</v>
      </c>
      <c r="J46" s="10">
        <f ca="1">SUM(J42:J45)</f>
        <v>387846.51608790649</v>
      </c>
      <c r="K46" s="10">
        <f ca="1">SUM(K42:K45)</f>
        <v>478274.53415857744</v>
      </c>
      <c r="L46" s="10">
        <f ca="1">SUM(L42:L45)</f>
        <v>578729.04563541</v>
      </c>
    </row>
    <row r="47" spans="2:12" x14ac:dyDescent="0.2">
      <c r="B47" s="17" t="s">
        <v>63</v>
      </c>
      <c r="C47" s="12">
        <v>87.3</v>
      </c>
      <c r="D47" s="12">
        <v>482</v>
      </c>
      <c r="E47" s="12">
        <v>795.1</v>
      </c>
      <c r="F47" s="12">
        <v>1067.5999999999999</v>
      </c>
      <c r="G47" s="12">
        <v>1312.8</v>
      </c>
      <c r="H47" s="10">
        <f>G47</f>
        <v>1312.8</v>
      </c>
      <c r="I47" s="10">
        <f>H47</f>
        <v>1312.8</v>
      </c>
      <c r="J47" s="10">
        <f>I47</f>
        <v>1312.8</v>
      </c>
      <c r="K47" s="10">
        <f>J47</f>
        <v>1312.8</v>
      </c>
      <c r="L47" s="10">
        <f>K47</f>
        <v>1312.8</v>
      </c>
    </row>
    <row r="48" spans="2:12" x14ac:dyDescent="0.2">
      <c r="C48" s="12"/>
      <c r="D48" s="12"/>
      <c r="E48" s="12"/>
      <c r="F48" s="12"/>
      <c r="G48" s="12"/>
    </row>
    <row r="49" spans="1:12" x14ac:dyDescent="0.2">
      <c r="B49" s="15" t="s">
        <v>58</v>
      </c>
      <c r="C49" s="21">
        <v>77566</v>
      </c>
      <c r="D49" s="21">
        <v>94950.6</v>
      </c>
      <c r="E49" s="21">
        <v>112797.8</v>
      </c>
      <c r="F49" s="21">
        <v>130505.4</v>
      </c>
      <c r="G49" s="21">
        <v>172018.5</v>
      </c>
      <c r="H49" s="24">
        <f ca="1">H47+H46</f>
        <v>234707.95857499263</v>
      </c>
      <c r="I49" s="24">
        <f ca="1">I47+I46</f>
        <v>307345.292147103</v>
      </c>
      <c r="J49" s="24">
        <f ca="1">J47+J46</f>
        <v>389159.31608790648</v>
      </c>
      <c r="K49" s="24">
        <f ca="1">K47+K46</f>
        <v>479587.33415857743</v>
      </c>
      <c r="L49" s="24">
        <f ca="1">L47+L46</f>
        <v>580041.84563541005</v>
      </c>
    </row>
    <row r="51" spans="1:12" x14ac:dyDescent="0.2">
      <c r="A51" t="s">
        <v>210</v>
      </c>
      <c r="B51" s="15" t="s">
        <v>64</v>
      </c>
      <c r="C51" s="21">
        <f>C22</f>
        <v>134293.5</v>
      </c>
      <c r="D51" s="21">
        <f>D22</f>
        <v>161550.9</v>
      </c>
      <c r="E51" s="21">
        <v>180672.7</v>
      </c>
      <c r="F51" s="21">
        <v>204079.4</v>
      </c>
      <c r="G51" s="21">
        <v>252879.9</v>
      </c>
      <c r="H51" s="24">
        <f ca="1">H49+H39</f>
        <v>328355.06023725972</v>
      </c>
      <c r="I51" s="24">
        <f ca="1">I49+I39</f>
        <v>412538.8539412145</v>
      </c>
      <c r="J51" s="24">
        <f ca="1">J49+J39</f>
        <v>506154.32247565174</v>
      </c>
      <c r="K51" s="24">
        <f ca="1">K49+K39</f>
        <v>608783.86756610358</v>
      </c>
      <c r="L51" s="24">
        <f ca="1">L49+L39</f>
        <v>720875.88104211749</v>
      </c>
    </row>
    <row r="52" spans="1:12" x14ac:dyDescent="0.2">
      <c r="B52" s="20" t="s">
        <v>59</v>
      </c>
      <c r="C52" s="22">
        <f t="shared" ref="C52:L52" si="3">C22-(C39+C49)</f>
        <v>0</v>
      </c>
      <c r="D52" s="22">
        <f t="shared" si="3"/>
        <v>0</v>
      </c>
      <c r="E52" s="22">
        <f t="shared" si="3"/>
        <v>0</v>
      </c>
      <c r="F52" s="22">
        <f t="shared" si="3"/>
        <v>0</v>
      </c>
      <c r="G52" s="22">
        <f t="shared" si="3"/>
        <v>0</v>
      </c>
      <c r="H52" s="22">
        <f t="shared" ca="1" si="3"/>
        <v>0</v>
      </c>
      <c r="I52" s="22">
        <f t="shared" ca="1" si="3"/>
        <v>0</v>
      </c>
      <c r="J52" s="22">
        <f t="shared" ca="1" si="3"/>
        <v>0</v>
      </c>
      <c r="K52" s="22">
        <f t="shared" ca="1" si="3"/>
        <v>0</v>
      </c>
      <c r="L52" s="22">
        <f t="shared" ca="1" si="3"/>
        <v>0</v>
      </c>
    </row>
    <row r="55" spans="1:12" x14ac:dyDescent="0.2">
      <c r="C55" s="44"/>
      <c r="D55" s="44"/>
      <c r="E55" s="44"/>
      <c r="F55" s="44"/>
      <c r="G55" s="44"/>
    </row>
    <row r="56" spans="1:12" x14ac:dyDescent="0.2">
      <c r="C56" s="43"/>
      <c r="D56" s="44"/>
      <c r="E56" s="44"/>
      <c r="F56" s="44"/>
      <c r="G56" s="44"/>
      <c r="H56" s="45"/>
    </row>
    <row r="57" spans="1:12" x14ac:dyDescent="0.2">
      <c r="H57" s="45"/>
    </row>
  </sheetData>
  <conditionalFormatting sqref="C52:L52">
    <cfRule type="cellIs" dxfId="0" priority="1" operator="notEqual">
      <formula>0</formula>
    </cfRule>
  </conditionalFormatting>
  <pageMargins left="0.7" right="0.7" top="0.75" bottom="0.75" header="0.3" footer="0.3"/>
  <pageSetup paperSize="9" orientation="portrait" horizontalDpi="0" verticalDpi="0"/>
  <ignoredErrors>
    <ignoredError sqref="H18 I18:L18 H46:L46 H44:L44 H35:L35" formula="1"/>
  </ignoredErrors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9D89F-F912-1742-81AF-081A4A71E7D3}">
  <dimension ref="A1:XFD36"/>
  <sheetViews>
    <sheetView zoomScaleNormal="100" workbookViewId="0"/>
  </sheetViews>
  <sheetFormatPr baseColWidth="10" defaultRowHeight="16" x14ac:dyDescent="0.2"/>
  <cols>
    <col min="1" max="1" width="3.33203125" customWidth="1"/>
    <col min="2" max="2" width="45.83203125" customWidth="1"/>
  </cols>
  <sheetData>
    <row r="1" spans="1:12" ht="17" thickBot="1" x14ac:dyDescent="0.25"/>
    <row r="2" spans="1:12" ht="17" thickTop="1" x14ac:dyDescent="0.2">
      <c r="B2" s="6" t="s">
        <v>99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17" thickBot="1" x14ac:dyDescent="0.25">
      <c r="B3" s="8" t="s">
        <v>61</v>
      </c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17" thickTop="1" x14ac:dyDescent="0.2"/>
    <row r="5" spans="1:12" x14ac:dyDescent="0.2">
      <c r="C5" s="1">
        <f t="shared" ref="C5:E5" si="0">D5-1</f>
        <v>2021</v>
      </c>
      <c r="D5" s="1">
        <f t="shared" si="0"/>
        <v>2022</v>
      </c>
      <c r="E5" s="1">
        <f t="shared" si="0"/>
        <v>2023</v>
      </c>
      <c r="F5" s="1">
        <f>G5-1</f>
        <v>2024</v>
      </c>
      <c r="G5" s="39">
        <f>H5-1</f>
        <v>2025</v>
      </c>
      <c r="H5" s="4">
        <f>_xlfn.NUMBERVALUE(ReadMe!$C$10)</f>
        <v>2026</v>
      </c>
      <c r="I5" s="4">
        <f>H5+1</f>
        <v>2027</v>
      </c>
      <c r="J5" s="4">
        <f t="shared" ref="J5:L5" si="1">I5+1</f>
        <v>2028</v>
      </c>
      <c r="K5" s="4">
        <f t="shared" si="1"/>
        <v>2029</v>
      </c>
      <c r="L5" s="4">
        <f t="shared" si="1"/>
        <v>2030</v>
      </c>
    </row>
    <row r="6" spans="1:12" x14ac:dyDescent="0.2">
      <c r="A6" t="s">
        <v>210</v>
      </c>
      <c r="B6" s="1" t="s">
        <v>65</v>
      </c>
      <c r="G6" s="41"/>
    </row>
    <row r="7" spans="1:12" x14ac:dyDescent="0.2">
      <c r="B7" t="s">
        <v>66</v>
      </c>
      <c r="C7" s="10">
        <f>IS!C34</f>
        <v>21372.799999999999</v>
      </c>
      <c r="D7" s="10">
        <f>IS!D34</f>
        <v>32323.3</v>
      </c>
      <c r="E7" s="10">
        <f>IS!E34</f>
        <v>27793.200000000001</v>
      </c>
      <c r="F7" s="10">
        <f>IS!F34</f>
        <v>35301.1</v>
      </c>
      <c r="G7" s="40">
        <f>IS!G34</f>
        <v>54036.5</v>
      </c>
      <c r="H7">
        <f ca="1">IS!H34</f>
        <v>83585.944766656874</v>
      </c>
      <c r="I7">
        <f ca="1">IS!I34</f>
        <v>96849.778096147114</v>
      </c>
      <c r="J7">
        <f ca="1">IS!J34</f>
        <v>109085.36525440469</v>
      </c>
      <c r="K7">
        <f ca="1">IS!K34</f>
        <v>120570.69076089455</v>
      </c>
      <c r="L7">
        <f ca="1">IS!L34</f>
        <v>133939.34863577681</v>
      </c>
    </row>
    <row r="8" spans="1:12" x14ac:dyDescent="0.2">
      <c r="B8" s="23" t="s">
        <v>80</v>
      </c>
      <c r="C8" s="10">
        <f>IS!C21</f>
        <v>15227</v>
      </c>
      <c r="D8" s="10">
        <f>IS!D21</f>
        <v>14228.9</v>
      </c>
      <c r="E8" s="10">
        <f>IS!E21</f>
        <v>17380.5</v>
      </c>
      <c r="F8" s="10">
        <f>IS!F21</f>
        <v>20213.400000000001</v>
      </c>
      <c r="G8" s="40">
        <f>IS!G21</f>
        <v>21934.9</v>
      </c>
      <c r="H8" s="10">
        <f>'PP&amp;E'!H8</f>
        <v>27393.141599999999</v>
      </c>
      <c r="I8" s="10">
        <f>'PP&amp;E'!I8</f>
        <v>34635.203410499998</v>
      </c>
      <c r="J8" s="10">
        <f>'PP&amp;E'!J8</f>
        <v>42540.179247719992</v>
      </c>
      <c r="K8" s="10">
        <f>'PP&amp;E'!K8</f>
        <v>51190.015694756388</v>
      </c>
      <c r="L8" s="10">
        <f>'PP&amp;E'!L8</f>
        <v>60350.334292765445</v>
      </c>
    </row>
    <row r="9" spans="1:12" x14ac:dyDescent="0.2">
      <c r="B9" s="23" t="s">
        <v>81</v>
      </c>
      <c r="C9" s="10">
        <f>WC_Schedule!C13</f>
        <v>0</v>
      </c>
      <c r="D9" s="10">
        <f>WC_Schedule!D13</f>
        <v>-379.60000000000036</v>
      </c>
      <c r="E9" s="10">
        <f>WC_Schedule!E13</f>
        <v>933.10000000000036</v>
      </c>
      <c r="F9" s="10">
        <f>WC_Schedule!F13</f>
        <v>-1700.5999999999995</v>
      </c>
      <c r="G9" s="40">
        <f>WC_Schedule!G13</f>
        <v>-693.39999999999964</v>
      </c>
      <c r="H9" s="10">
        <f>WC_Schedule!H13</f>
        <v>-5080.5193150684936</v>
      </c>
      <c r="I9" s="10">
        <f>WC_Schedule!I13</f>
        <v>-2673.64566986301</v>
      </c>
      <c r="J9" s="10">
        <f>WC_Schedule!J13</f>
        <v>-2679.2743975890407</v>
      </c>
      <c r="K9" s="10">
        <f>WC_Schedule!K13</f>
        <v>-2719.463513552877</v>
      </c>
      <c r="L9" s="10">
        <f>WC_Schedule!L13</f>
        <v>-2657.3043475288141</v>
      </c>
    </row>
    <row r="10" spans="1:12" x14ac:dyDescent="0.2">
      <c r="B10" s="23" t="s">
        <v>82</v>
      </c>
      <c r="C10" s="10">
        <f>WC_Schedule!C14</f>
        <v>0</v>
      </c>
      <c r="D10" s="10">
        <f>WC_Schedule!D14</f>
        <v>-235.30000000000018</v>
      </c>
      <c r="E10" s="10">
        <f>WC_Schedule!E14</f>
        <v>-1000.7000000000007</v>
      </c>
      <c r="F10" s="10">
        <f>WC_Schedule!F14</f>
        <v>-582</v>
      </c>
      <c r="G10" s="40">
        <f>WC_Schedule!G14</f>
        <v>-405</v>
      </c>
      <c r="H10" s="10">
        <f>WC_Schedule!H14</f>
        <v>-4690.6138446575296</v>
      </c>
      <c r="I10" s="10">
        <f>WC_Schedule!I14</f>
        <v>-3205.5604399726017</v>
      </c>
      <c r="J10" s="10">
        <f>WC_Schedule!J14</f>
        <v>-3095.4550206812055</v>
      </c>
      <c r="K10" s="10">
        <f>WC_Schedule!K14</f>
        <v>-3444.6537838336444</v>
      </c>
      <c r="L10" s="10">
        <f>WC_Schedule!L14</f>
        <v>-3495.8314971934633</v>
      </c>
    </row>
    <row r="11" spans="1:12" x14ac:dyDescent="0.2">
      <c r="B11" s="23" t="s">
        <v>83</v>
      </c>
      <c r="C11" s="10">
        <f>WC_Schedule!C15</f>
        <v>0</v>
      </c>
      <c r="D11" s="10">
        <f>WC_Schedule!D15</f>
        <v>1776.6000000000022</v>
      </c>
      <c r="E11" s="10">
        <f>WC_Schedule!E15</f>
        <v>-1315.4000000000015</v>
      </c>
      <c r="F11" s="10">
        <f>WC_Schedule!F15</f>
        <v>667</v>
      </c>
      <c r="G11" s="40">
        <f>WC_Schedule!G15</f>
        <v>215.39999999999964</v>
      </c>
      <c r="H11" s="10">
        <f>WC_Schedule!H15</f>
        <v>2012.3402287671215</v>
      </c>
      <c r="I11" s="10">
        <f>WC_Schedule!I15</f>
        <v>2695.2224594794498</v>
      </c>
      <c r="J11" s="10">
        <f>WC_Schedule!J15</f>
        <v>2931.5727366953433</v>
      </c>
      <c r="K11" s="10">
        <f>WC_Schedule!K15</f>
        <v>3198.6070849883836</v>
      </c>
      <c r="L11" s="10">
        <f>WC_Schedule!L15</f>
        <v>2840.3630914696914</v>
      </c>
    </row>
    <row r="12" spans="1:12" x14ac:dyDescent="0.2">
      <c r="B12" s="23" t="s">
        <v>84</v>
      </c>
      <c r="C12" s="10">
        <f>WC_Schedule!C16</f>
        <v>0</v>
      </c>
      <c r="D12" s="10">
        <f>WC_Schedule!D16</f>
        <v>4710.9000000000015</v>
      </c>
      <c r="E12" s="10">
        <f>WC_Schedule!E16</f>
        <v>-306</v>
      </c>
      <c r="F12" s="10">
        <f>WC_Schedule!F16</f>
        <v>4938.1999999999989</v>
      </c>
      <c r="G12" s="40">
        <f>WC_Schedule!G16</f>
        <v>750.19999999999709</v>
      </c>
      <c r="H12" s="10">
        <f>WC_Schedule!H16</f>
        <v>3642.726858500002</v>
      </c>
      <c r="I12" s="10">
        <f>WC_Schedule!I16</f>
        <v>4134.4811031149984</v>
      </c>
      <c r="J12" s="10">
        <f>WC_Schedule!J16</f>
        <v>4143.1852738583912</v>
      </c>
      <c r="K12" s="10">
        <f>WC_Schedule!K16</f>
        <v>4205.333052966278</v>
      </c>
      <c r="L12" s="10">
        <f>WC_Schedule!L16</f>
        <v>4109.2111546127708</v>
      </c>
    </row>
    <row r="13" spans="1:12" x14ac:dyDescent="0.2">
      <c r="B13" s="23" t="s">
        <v>85</v>
      </c>
      <c r="C13" s="10">
        <f>WC_Schedule!C17</f>
        <v>0</v>
      </c>
      <c r="D13" s="10">
        <f>WC_Schedule!D17</f>
        <v>-285.5</v>
      </c>
      <c r="E13" s="10">
        <f>WC_Schedule!E17</f>
        <v>-479.10000000000014</v>
      </c>
      <c r="F13" s="10">
        <f>WC_Schedule!F17</f>
        <v>-1500.7999999999997</v>
      </c>
      <c r="G13" s="40">
        <f>WC_Schedule!G17</f>
        <v>-2441.6999999999998</v>
      </c>
      <c r="H13" s="10">
        <f>WC_Schedule!H17</f>
        <v>-1162.3854000000001</v>
      </c>
      <c r="I13" s="10">
        <f>WC_Schedule!I17</f>
        <v>-893.70124469999882</v>
      </c>
      <c r="J13" s="10">
        <f>WC_Schedule!J17</f>
        <v>-529.71487569000055</v>
      </c>
      <c r="K13" s="10">
        <f>WC_Schedule!K17</f>
        <v>-619.19594238347963</v>
      </c>
      <c r="L13" s="10">
        <f>WC_Schedule!L17</f>
        <v>-161.65268114133687</v>
      </c>
    </row>
    <row r="14" spans="1:12" x14ac:dyDescent="0.2">
      <c r="B14" s="23" t="s">
        <v>86</v>
      </c>
      <c r="C14" s="10">
        <f>WC_Schedule!C18</f>
        <v>0</v>
      </c>
      <c r="D14" s="10">
        <f>WC_Schedule!D18</f>
        <v>1957.8000000000011</v>
      </c>
      <c r="E14" s="10">
        <f>WC_Schedule!E18</f>
        <v>632.60000000000036</v>
      </c>
      <c r="F14" s="10">
        <f>WC_Schedule!F18</f>
        <v>1992.5</v>
      </c>
      <c r="G14" s="40">
        <f>WC_Schedule!G18</f>
        <v>5115.6999999999971</v>
      </c>
      <c r="H14" s="10">
        <f>WC_Schedule!H18</f>
        <v>7130.6345749999964</v>
      </c>
      <c r="I14" s="10">
        <f>WC_Schedule!I18</f>
        <v>4716.7565692499993</v>
      </c>
      <c r="J14" s="10">
        <f>WC_Schedule!J18</f>
        <v>4726.6865830799979</v>
      </c>
      <c r="K14" s="10">
        <f>WC_Schedule!K18</f>
        <v>4797.5868818262024</v>
      </c>
      <c r="L14" s="10">
        <f>WC_Schedule!L18</f>
        <v>4687.9277530987456</v>
      </c>
    </row>
    <row r="15" spans="1:12" x14ac:dyDescent="0.2">
      <c r="B15" s="16" t="s">
        <v>67</v>
      </c>
      <c r="C15" s="24">
        <f t="shared" ref="C15:L15" si="2">C7+C8+C9+C10+C11+C12+C13+C14</f>
        <v>36599.800000000003</v>
      </c>
      <c r="D15" s="24">
        <f t="shared" si="2"/>
        <v>54097.1</v>
      </c>
      <c r="E15" s="24">
        <f t="shared" si="2"/>
        <v>43638.19999999999</v>
      </c>
      <c r="F15" s="24">
        <f t="shared" si="2"/>
        <v>59328.799999999996</v>
      </c>
      <c r="G15" s="51">
        <f t="shared" si="2"/>
        <v>78512.599999999991</v>
      </c>
      <c r="H15" s="24">
        <f t="shared" ca="1" si="2"/>
        <v>112831.26946919796</v>
      </c>
      <c r="I15" s="24">
        <f t="shared" ca="1" si="2"/>
        <v>136258.53428395593</v>
      </c>
      <c r="J15" s="24">
        <f t="shared" ca="1" si="2"/>
        <v>157122.54480179821</v>
      </c>
      <c r="K15" s="24">
        <f t="shared" ca="1" si="2"/>
        <v>177178.92023566179</v>
      </c>
      <c r="L15" s="24">
        <f t="shared" ca="1" si="2"/>
        <v>199612.39640185985</v>
      </c>
    </row>
    <row r="16" spans="1:12" x14ac:dyDescent="0.2">
      <c r="G16" s="41"/>
    </row>
    <row r="17" spans="1:12 16384:16384" x14ac:dyDescent="0.2">
      <c r="A17" t="s">
        <v>210</v>
      </c>
      <c r="B17" s="1" t="s">
        <v>68</v>
      </c>
      <c r="G17" s="41"/>
    </row>
    <row r="18" spans="1:12 16384:16384" x14ac:dyDescent="0.2">
      <c r="B18" s="23" t="s">
        <v>87</v>
      </c>
      <c r="C18" s="10">
        <f>-'PP&amp;E'!C7</f>
        <v>-15227</v>
      </c>
      <c r="D18" s="10">
        <f>-'PP&amp;E'!D7</f>
        <v>-30689.299999999996</v>
      </c>
      <c r="E18" s="10">
        <f>-'PP&amp;E'!E7</f>
        <v>-29799.899999999994</v>
      </c>
      <c r="F18" s="10">
        <f>-'PP&amp;E'!F7</f>
        <v>-18790.000000000007</v>
      </c>
      <c r="G18" s="40">
        <f>-'PP&amp;E'!G7</f>
        <v>-40964.400000000001</v>
      </c>
      <c r="H18" s="10">
        <f>-'PP&amp;E'!H7</f>
        <v>-61634.568599999991</v>
      </c>
      <c r="I18" s="10">
        <f>-'PP&amp;E'!I7</f>
        <v>-65195.677007999991</v>
      </c>
      <c r="J18" s="10">
        <f>-'PP&amp;E'!J7</f>
        <v>-68536.955454659983</v>
      </c>
      <c r="K18" s="10">
        <f>-'PP&amp;E'!K7</f>
        <v>-72743.706513601195</v>
      </c>
      <c r="L18" s="10">
        <f>-'PP&amp;E'!L7</f>
        <v>-75437.917865956799</v>
      </c>
      <c r="XFD18" s="10"/>
    </row>
    <row r="19" spans="1:12 16384:16384" x14ac:dyDescent="0.2">
      <c r="B19" s="23" t="s">
        <v>88</v>
      </c>
      <c r="C19" s="10">
        <f>Securities!C7+Securities!C17</f>
        <v>0</v>
      </c>
      <c r="D19" s="10">
        <f>Securities!D7+Securities!D17</f>
        <v>3741.1000000000008</v>
      </c>
      <c r="E19" s="10">
        <f>Securities!E7+Securities!E17</f>
        <v>2057.8999999999992</v>
      </c>
      <c r="F19" s="10">
        <f>Securities!F7+Securities!F17</f>
        <v>1864.8000000000006</v>
      </c>
      <c r="G19" s="40">
        <f>Securities!G7+Securities!G17</f>
        <v>1487.1999999999989</v>
      </c>
      <c r="H19" s="10">
        <f>Securities!H7+Securities!H17</f>
        <v>0</v>
      </c>
      <c r="I19" s="10">
        <f>Securities!I7+Securities!I17</f>
        <v>0</v>
      </c>
      <c r="J19" s="10">
        <f>Securities!J7+Securities!J17</f>
        <v>0</v>
      </c>
      <c r="K19" s="10">
        <f>Securities!K7+Securities!K17</f>
        <v>0</v>
      </c>
      <c r="L19" s="10">
        <f>Securities!L7+Securities!L17</f>
        <v>0</v>
      </c>
    </row>
    <row r="20" spans="1:12 16384:16384" x14ac:dyDescent="0.2">
      <c r="B20" s="23" t="s">
        <v>89</v>
      </c>
      <c r="C20" s="13">
        <v>0</v>
      </c>
      <c r="D20" s="13">
        <v>0</v>
      </c>
      <c r="E20" s="13">
        <v>0</v>
      </c>
      <c r="F20" s="13">
        <v>0</v>
      </c>
      <c r="G20" s="42">
        <v>0</v>
      </c>
    </row>
    <row r="21" spans="1:12 16384:16384" x14ac:dyDescent="0.2">
      <c r="B21" s="23" t="s">
        <v>116</v>
      </c>
      <c r="C21" s="13"/>
      <c r="D21" s="10">
        <f>(D36-D35)-D15-(D18+D19+D20)-D30</f>
        <v>-13856.200000000012</v>
      </c>
      <c r="E21" s="10">
        <f t="shared" ref="E21:G21" si="3">(E36-E35)-E15-(E18+E19+E20)-E30</f>
        <v>-4598.7999999999865</v>
      </c>
      <c r="F21" s="10">
        <f t="shared" si="3"/>
        <v>-15124.899999999989</v>
      </c>
      <c r="G21" s="40">
        <f t="shared" si="3"/>
        <v>-2553.7999999999793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</row>
    <row r="22" spans="1:12 16384:16384" x14ac:dyDescent="0.2">
      <c r="B22" s="16" t="s">
        <v>69</v>
      </c>
      <c r="C22" s="24">
        <f>C18+C19+C20+C21</f>
        <v>-15227</v>
      </c>
      <c r="D22" s="24">
        <f t="shared" ref="D22:F22" si="4">D18+D19+D20+D21</f>
        <v>-40804.400000000009</v>
      </c>
      <c r="E22" s="24">
        <f t="shared" si="4"/>
        <v>-32340.799999999981</v>
      </c>
      <c r="F22" s="24">
        <f t="shared" si="4"/>
        <v>-32050.1</v>
      </c>
      <c r="G22" s="51">
        <f>G18+G19+G20+G21</f>
        <v>-42030.999999999985</v>
      </c>
      <c r="H22" s="24">
        <f>H18+H19+H20+H21</f>
        <v>-61634.568599999991</v>
      </c>
      <c r="I22" s="24">
        <f>I18+I19+I20+I21</f>
        <v>-65195.677007999991</v>
      </c>
      <c r="J22" s="24">
        <f>J18+J19+J20+J21</f>
        <v>-68536.955454659983</v>
      </c>
      <c r="K22" s="24">
        <f>K18+K19+K20+K21</f>
        <v>-72743.706513601195</v>
      </c>
      <c r="L22" s="24">
        <f>L18+L19+L20+L21</f>
        <v>-75437.917865956799</v>
      </c>
    </row>
    <row r="23" spans="1:12 16384:16384" x14ac:dyDescent="0.2">
      <c r="G23" s="41"/>
    </row>
    <row r="24" spans="1:12 16384:16384" x14ac:dyDescent="0.2">
      <c r="A24" t="s">
        <v>210</v>
      </c>
      <c r="B24" s="1" t="s">
        <v>70</v>
      </c>
      <c r="G24" s="41"/>
    </row>
    <row r="25" spans="1:12 16384:16384" x14ac:dyDescent="0.2">
      <c r="B25" s="23" t="s">
        <v>90</v>
      </c>
      <c r="C25" s="10">
        <f>BS!C26-BS!C26</f>
        <v>0</v>
      </c>
      <c r="D25" s="10">
        <f>BS!D26-BS!C26</f>
        <v>-3678.9000000000005</v>
      </c>
      <c r="E25" s="10">
        <f>BS!E26-BS!D26</f>
        <v>-325</v>
      </c>
      <c r="F25" s="10">
        <f>BS!F26-BS!E26</f>
        <v>1522</v>
      </c>
      <c r="G25" s="40">
        <f>BS!G26-BS!F26</f>
        <v>2539.3999999999996</v>
      </c>
      <c r="H25">
        <f>Assumptions!C41</f>
        <v>0</v>
      </c>
      <c r="I25">
        <f>Assumptions!D41</f>
        <v>0</v>
      </c>
      <c r="J25">
        <f>Assumptions!E41</f>
        <v>0</v>
      </c>
      <c r="K25">
        <f>Assumptions!F41</f>
        <v>0</v>
      </c>
      <c r="L25">
        <f>Assumptions!G41</f>
        <v>0</v>
      </c>
    </row>
    <row r="26" spans="1:12 16384:16384" x14ac:dyDescent="0.2">
      <c r="B26" s="23" t="s">
        <v>91</v>
      </c>
      <c r="C26" s="10">
        <f>BS!C33-BS!C33</f>
        <v>0</v>
      </c>
      <c r="D26" s="10">
        <f>BS!D33-BS!C33</f>
        <v>5193.6000000000022</v>
      </c>
      <c r="E26" s="10">
        <f>BS!E33-BS!D33</f>
        <v>2684.1999999999971</v>
      </c>
      <c r="F26" s="10">
        <f>BS!F33-BS!E33</f>
        <v>-760.29999999999927</v>
      </c>
      <c r="G26" s="40">
        <f>BS!G33-BS!F33</f>
        <v>-664.90000000000146</v>
      </c>
      <c r="H26">
        <f>Assumptions!C40</f>
        <v>0</v>
      </c>
      <c r="I26">
        <f>Assumptions!D40</f>
        <v>0</v>
      </c>
      <c r="J26">
        <f>Assumptions!E40</f>
        <v>0</v>
      </c>
      <c r="K26">
        <f>Assumptions!F40</f>
        <v>0</v>
      </c>
      <c r="L26">
        <f>Assumptions!G40</f>
        <v>0</v>
      </c>
    </row>
    <row r="27" spans="1:12 16384:16384" x14ac:dyDescent="0.2">
      <c r="B27" s="23" t="s">
        <v>92</v>
      </c>
      <c r="C27" s="12">
        <v>-9581.2999999999993</v>
      </c>
      <c r="D27" s="12">
        <v>-9282</v>
      </c>
      <c r="E27" s="12">
        <v>-9527.2000000000007</v>
      </c>
      <c r="F27" s="52">
        <v>-11072.1</v>
      </c>
      <c r="G27" s="52">
        <v>-14879.8</v>
      </c>
      <c r="H27" s="10">
        <f ca="1">-IS!H34*Assumptions!C42</f>
        <v>-20896.486191664218</v>
      </c>
      <c r="I27" s="10">
        <f ca="1">-IS!I34*Assumptions!D42</f>
        <v>-24212.444524036779</v>
      </c>
      <c r="J27" s="10">
        <f ca="1">-IS!J34*Assumptions!E42</f>
        <v>-27271.341313601173</v>
      </c>
      <c r="K27" s="10">
        <f ca="1">-IS!K34*Assumptions!F42</f>
        <v>-30142.672690223637</v>
      </c>
      <c r="L27" s="10">
        <f ca="1">-IS!L34*Assumptions!G42</f>
        <v>-33484.837158944203</v>
      </c>
    </row>
    <row r="28" spans="1:12 16384:16384" x14ac:dyDescent="0.2">
      <c r="B28" s="23" t="s">
        <v>93</v>
      </c>
      <c r="C28" s="10">
        <f>-(BS!C34-BS!C34)</f>
        <v>0</v>
      </c>
      <c r="D28" s="10">
        <f>-(BS!D34-BS!C34)</f>
        <v>-220.10000000000002</v>
      </c>
      <c r="E28" s="10">
        <f>-(BS!E34-BS!D34)</f>
        <v>31.899999999999977</v>
      </c>
      <c r="F28" s="10">
        <f>-(BS!F34-BS!E34)</f>
        <v>59.700000000000045</v>
      </c>
      <c r="G28" s="40">
        <f>-(BS!G34-BS!F34)</f>
        <v>-130.20000000000005</v>
      </c>
    </row>
    <row r="29" spans="1:12 16384:16384" x14ac:dyDescent="0.2">
      <c r="B29" s="23" t="s">
        <v>94</v>
      </c>
      <c r="C29" s="13">
        <v>0</v>
      </c>
      <c r="D29" s="13">
        <v>0</v>
      </c>
      <c r="E29" s="13">
        <v>0</v>
      </c>
      <c r="F29" s="13">
        <v>0</v>
      </c>
      <c r="G29" s="42">
        <v>0</v>
      </c>
    </row>
    <row r="30" spans="1:12 16384:16384" x14ac:dyDescent="0.2">
      <c r="B30" s="16" t="s">
        <v>71</v>
      </c>
      <c r="C30" s="24">
        <f>C25+C26+C27+C28+C29</f>
        <v>-9581.2999999999993</v>
      </c>
      <c r="D30" s="24">
        <f>D25+D26+D27+D28+D29</f>
        <v>-7987.3999999999987</v>
      </c>
      <c r="E30" s="24">
        <f>E25+E26+E27+E28+E29</f>
        <v>-7136.100000000004</v>
      </c>
      <c r="F30" s="24">
        <f>F25+F26+F27+F28+F29</f>
        <v>-10250.699999999999</v>
      </c>
      <c r="G30" s="51">
        <f>G25+G26+G27+G28+G29</f>
        <v>-13135.500000000002</v>
      </c>
      <c r="H30" s="24">
        <f ca="1">H25+H26+H27+H28+H29</f>
        <v>-20896.486191664218</v>
      </c>
      <c r="I30" s="24">
        <f ca="1">I25+I26+I27+I28+I29</f>
        <v>-24212.444524036779</v>
      </c>
      <c r="J30" s="24">
        <f ca="1">J25+J26+J27+J28+J29</f>
        <v>-27271.341313601173</v>
      </c>
      <c r="K30" s="24">
        <f ca="1">K25+K26+K27+K28+K29</f>
        <v>-30142.672690223637</v>
      </c>
      <c r="L30" s="24">
        <f ca="1">L25+L26+L27+L28+L29</f>
        <v>-33484.837158944203</v>
      </c>
    </row>
    <row r="31" spans="1:12 16384:16384" x14ac:dyDescent="0.2">
      <c r="G31" s="41"/>
    </row>
    <row r="32" spans="1:12 16384:16384" x14ac:dyDescent="0.2">
      <c r="B32" t="s">
        <v>72</v>
      </c>
      <c r="C32" s="10">
        <f>C15+C22+C30</f>
        <v>11791.500000000004</v>
      </c>
      <c r="D32" s="10">
        <f>D15+D22+D30</f>
        <v>5305.2999999999911</v>
      </c>
      <c r="E32" s="10">
        <f>E15+E22+E30</f>
        <v>4161.3000000000047</v>
      </c>
      <c r="F32" s="10">
        <f>F15+F22+F30</f>
        <v>17028</v>
      </c>
      <c r="G32" s="40">
        <f>G15+G22+G30</f>
        <v>23346.100000000006</v>
      </c>
      <c r="H32" s="10">
        <f ca="1">H15+H22+H30</f>
        <v>30300.214677533746</v>
      </c>
      <c r="I32" s="10">
        <f ca="1">I15+I22+I30</f>
        <v>46850.412751919153</v>
      </c>
      <c r="J32" s="10">
        <f ca="1">J15+J22+J30</f>
        <v>61314.248033537056</v>
      </c>
      <c r="K32" s="10">
        <f ca="1">K15+K22+K30</f>
        <v>74292.541031836954</v>
      </c>
      <c r="L32" s="10">
        <f ca="1">L15+L22+L30</f>
        <v>90689.64137695884</v>
      </c>
    </row>
    <row r="33" spans="1:12" x14ac:dyDescent="0.2">
      <c r="B33" s="19" t="s">
        <v>73</v>
      </c>
      <c r="G33" s="41"/>
    </row>
    <row r="34" spans="1:12" x14ac:dyDescent="0.2">
      <c r="G34" s="41"/>
    </row>
    <row r="35" spans="1:12" x14ac:dyDescent="0.2">
      <c r="B35" t="s">
        <v>74</v>
      </c>
      <c r="C35" s="10">
        <f>C36</f>
        <v>38391.9</v>
      </c>
      <c r="D35" s="10">
        <f t="shared" ref="D35:L35" si="5">C36</f>
        <v>38391.9</v>
      </c>
      <c r="E35" s="10">
        <f t="shared" si="5"/>
        <v>43697.2</v>
      </c>
      <c r="F35" s="10">
        <f t="shared" si="5"/>
        <v>47858.5</v>
      </c>
      <c r="G35" s="40">
        <f t="shared" si="5"/>
        <v>64886.5</v>
      </c>
      <c r="H35" s="10">
        <f t="shared" si="5"/>
        <v>88232.6</v>
      </c>
      <c r="I35" s="10">
        <f t="shared" ca="1" si="5"/>
        <v>118532.81467753375</v>
      </c>
      <c r="J35" s="10">
        <f t="shared" ca="1" si="5"/>
        <v>165383.22742945291</v>
      </c>
      <c r="K35" s="10">
        <f t="shared" ca="1" si="5"/>
        <v>226697.47546298997</v>
      </c>
      <c r="L35" s="10">
        <f t="shared" ca="1" si="5"/>
        <v>300990.01649482694</v>
      </c>
    </row>
    <row r="36" spans="1:12" x14ac:dyDescent="0.2">
      <c r="A36" t="s">
        <v>210</v>
      </c>
      <c r="B36" t="s">
        <v>75</v>
      </c>
      <c r="C36" s="10">
        <f>BS!C8</f>
        <v>38391.9</v>
      </c>
      <c r="D36" s="10">
        <f>BS!D8</f>
        <v>43697.2</v>
      </c>
      <c r="E36" s="10">
        <f>BS!E8</f>
        <v>47858.5</v>
      </c>
      <c r="F36" s="10">
        <f>BS!F8</f>
        <v>64886.5</v>
      </c>
      <c r="G36" s="40">
        <f>BS!G8</f>
        <v>88232.6</v>
      </c>
      <c r="H36" s="10">
        <f ca="1">H35+H32</f>
        <v>118532.81467753375</v>
      </c>
      <c r="I36" s="10">
        <f ca="1">I35+I32</f>
        <v>165383.22742945291</v>
      </c>
      <c r="J36" s="10">
        <f ca="1">J35+J32</f>
        <v>226697.47546298997</v>
      </c>
      <c r="K36" s="10">
        <f ca="1">K35+K32</f>
        <v>300990.01649482694</v>
      </c>
      <c r="L36" s="10">
        <f ca="1">L35+L32</f>
        <v>391679.65787178581</v>
      </c>
    </row>
  </sheetData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00B98-E9BF-7E43-918B-D24F431FCA07}">
  <dimension ref="B1:L22"/>
  <sheetViews>
    <sheetView zoomScaleNormal="100" workbookViewId="0"/>
  </sheetViews>
  <sheetFormatPr baseColWidth="10" defaultRowHeight="16" x14ac:dyDescent="0.2"/>
  <cols>
    <col min="1" max="1" width="3.33203125" customWidth="1"/>
    <col min="2" max="2" width="38.6640625" bestFit="1" customWidth="1"/>
  </cols>
  <sheetData>
    <row r="1" spans="2:12" ht="17" thickBot="1" x14ac:dyDescent="0.25"/>
    <row r="2" spans="2:12" ht="17" thickTop="1" x14ac:dyDescent="0.2">
      <c r="B2" s="6" t="s">
        <v>100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2" ht="17" thickBot="1" x14ac:dyDescent="0.25">
      <c r="B3" s="8" t="s">
        <v>61</v>
      </c>
      <c r="C3" s="9"/>
      <c r="D3" s="9"/>
      <c r="E3" s="9"/>
      <c r="F3" s="9"/>
      <c r="G3" s="9"/>
      <c r="H3" s="9"/>
      <c r="I3" s="9"/>
      <c r="J3" s="9"/>
      <c r="K3" s="9"/>
      <c r="L3" s="9"/>
    </row>
    <row r="4" spans="2:12" ht="17" thickTop="1" x14ac:dyDescent="0.2"/>
    <row r="5" spans="2:12" x14ac:dyDescent="0.2">
      <c r="C5" s="1">
        <f t="shared" ref="C5:E5" si="0">D5-1</f>
        <v>2021</v>
      </c>
      <c r="D5" s="1">
        <f t="shared" si="0"/>
        <v>2022</v>
      </c>
      <c r="E5" s="1">
        <f t="shared" si="0"/>
        <v>2023</v>
      </c>
      <c r="F5" s="1">
        <f>G5-1</f>
        <v>2024</v>
      </c>
      <c r="G5" s="39">
        <f>H5-1</f>
        <v>2025</v>
      </c>
      <c r="H5" s="4">
        <f>_xlfn.NUMBERVALUE(ReadMe!$C$10)</f>
        <v>2026</v>
      </c>
      <c r="I5" s="4">
        <f>H5+1</f>
        <v>2027</v>
      </c>
      <c r="J5" s="4">
        <f t="shared" ref="J5:L5" si="1">I5+1</f>
        <v>2028</v>
      </c>
      <c r="K5" s="4">
        <f t="shared" si="1"/>
        <v>2029</v>
      </c>
      <c r="L5" s="4">
        <f t="shared" si="1"/>
        <v>2030</v>
      </c>
    </row>
    <row r="6" spans="2:12" x14ac:dyDescent="0.2">
      <c r="B6" t="s">
        <v>76</v>
      </c>
      <c r="C6" s="10">
        <f>C10</f>
        <v>71201.100000000006</v>
      </c>
      <c r="D6" s="10">
        <f t="shared" ref="D6:L6" si="2">C10</f>
        <v>71201.100000000006</v>
      </c>
      <c r="E6" s="10">
        <f t="shared" si="2"/>
        <v>87661.5</v>
      </c>
      <c r="F6" s="10">
        <f t="shared" si="2"/>
        <v>100080.9</v>
      </c>
      <c r="G6" s="40">
        <f t="shared" si="2"/>
        <v>98657.5</v>
      </c>
      <c r="H6" s="10">
        <f t="shared" si="2"/>
        <v>117687</v>
      </c>
      <c r="I6" s="10">
        <f t="shared" si="2"/>
        <v>151928.427</v>
      </c>
      <c r="J6" s="10">
        <f t="shared" si="2"/>
        <v>182488.9005975</v>
      </c>
      <c r="K6" s="10">
        <f t="shared" si="2"/>
        <v>208485.67680443998</v>
      </c>
      <c r="L6" s="10">
        <f t="shared" si="2"/>
        <v>230039.36762328478</v>
      </c>
    </row>
    <row r="7" spans="2:12" x14ac:dyDescent="0.2">
      <c r="B7" s="23" t="s">
        <v>77</v>
      </c>
      <c r="C7" s="10">
        <f>C10-C6+C8-C9</f>
        <v>15227</v>
      </c>
      <c r="D7" s="10">
        <f>D10-D6+D8-D9</f>
        <v>30689.299999999996</v>
      </c>
      <c r="E7" s="10">
        <f>E10-E6+E8-E9</f>
        <v>29799.899999999994</v>
      </c>
      <c r="F7" s="10">
        <f>F10-F6+F8-F9</f>
        <v>18790.000000000007</v>
      </c>
      <c r="G7" s="40">
        <f>G10-G6+G8-G9</f>
        <v>40964.400000000001</v>
      </c>
      <c r="H7" s="10">
        <f>IS!H6*Assumptions!C29</f>
        <v>61634.568599999991</v>
      </c>
      <c r="I7" s="10">
        <f>IS!I6*Assumptions!D29</f>
        <v>65195.677007999991</v>
      </c>
      <c r="J7" s="10">
        <f>IS!J6*Assumptions!E29</f>
        <v>68536.955454659983</v>
      </c>
      <c r="K7" s="10">
        <f>IS!K6*Assumptions!F29</f>
        <v>72743.706513601195</v>
      </c>
      <c r="L7" s="10">
        <f>IS!L6*Assumptions!G29</f>
        <v>75437.917865956799</v>
      </c>
    </row>
    <row r="8" spans="2:12" x14ac:dyDescent="0.2">
      <c r="B8" s="23" t="s">
        <v>78</v>
      </c>
      <c r="C8" s="10">
        <f>IS!C21</f>
        <v>15227</v>
      </c>
      <c r="D8" s="10">
        <f>IS!D21</f>
        <v>14228.9</v>
      </c>
      <c r="E8" s="10">
        <f>IS!E21</f>
        <v>17380.5</v>
      </c>
      <c r="F8" s="10">
        <f>IS!F21</f>
        <v>20213.400000000001</v>
      </c>
      <c r="G8" s="40">
        <f>IS!G21</f>
        <v>21934.9</v>
      </c>
      <c r="H8" s="10">
        <f>IS!H6*Assumptions!C30</f>
        <v>27393.141599999999</v>
      </c>
      <c r="I8" s="10">
        <f>IS!I6*Assumptions!D30</f>
        <v>34635.203410499998</v>
      </c>
      <c r="J8" s="10">
        <f>IS!J6*Assumptions!E30</f>
        <v>42540.179247719992</v>
      </c>
      <c r="K8" s="10">
        <f>IS!K6*Assumptions!F30</f>
        <v>51190.015694756388</v>
      </c>
      <c r="L8" s="10">
        <f>IS!L6*Assumptions!G30</f>
        <v>60350.334292765445</v>
      </c>
    </row>
    <row r="9" spans="2:12" x14ac:dyDescent="0.2">
      <c r="B9" s="23" t="s">
        <v>79</v>
      </c>
      <c r="C9" s="13">
        <v>0</v>
      </c>
      <c r="D9" s="13">
        <v>0</v>
      </c>
      <c r="E9" s="13">
        <v>0</v>
      </c>
      <c r="F9" s="13">
        <v>0</v>
      </c>
      <c r="G9" s="42">
        <v>0</v>
      </c>
    </row>
    <row r="10" spans="2:12" x14ac:dyDescent="0.2">
      <c r="B10" t="s">
        <v>113</v>
      </c>
      <c r="C10" s="10">
        <f>BS!C16</f>
        <v>71201.100000000006</v>
      </c>
      <c r="D10" s="10">
        <f>BS!D16</f>
        <v>87661.5</v>
      </c>
      <c r="E10" s="10">
        <f>BS!E16</f>
        <v>100080.9</v>
      </c>
      <c r="F10" s="10">
        <f>BS!F16</f>
        <v>98657.5</v>
      </c>
      <c r="G10" s="40">
        <f>BS!G16</f>
        <v>117687</v>
      </c>
      <c r="H10" s="10">
        <f>H6+H7-H8+H9</f>
        <v>151928.427</v>
      </c>
      <c r="I10" s="10">
        <f>I6+I7-I8+I9</f>
        <v>182488.9005975</v>
      </c>
      <c r="J10" s="10">
        <f>J6+J7-J8+J9</f>
        <v>208485.67680443998</v>
      </c>
      <c r="K10" s="10">
        <f>K6+K7-K8+K9</f>
        <v>230039.36762328478</v>
      </c>
      <c r="L10" s="10">
        <f>L6+L7-L8+L9</f>
        <v>245126.95119647615</v>
      </c>
    </row>
    <row r="11" spans="2:12" x14ac:dyDescent="0.2">
      <c r="B11" s="26" t="s">
        <v>114</v>
      </c>
      <c r="C11" s="27" t="b">
        <f>C10=BS!C16</f>
        <v>1</v>
      </c>
      <c r="D11" s="27" t="b">
        <f>D10=BS!D16</f>
        <v>1</v>
      </c>
      <c r="E11" s="27" t="b">
        <f>E10=BS!E16</f>
        <v>1</v>
      </c>
      <c r="F11" s="27" t="b">
        <f>F10=BS!F16</f>
        <v>1</v>
      </c>
      <c r="G11" s="27" t="b">
        <f>G10=BS!G16</f>
        <v>1</v>
      </c>
    </row>
    <row r="22" spans="12:12" x14ac:dyDescent="0.2">
      <c r="L22" s="10"/>
    </row>
  </sheetData>
  <pageMargins left="0.7" right="0.7" top="0.75" bottom="0.75" header="0.3" footer="0.3"/>
  <pageSetup paperSize="9"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C5831-0F6B-1341-ADD0-C3B26D038C2A}">
  <dimension ref="B1:XFD25"/>
  <sheetViews>
    <sheetView zoomScaleNormal="100" workbookViewId="0"/>
  </sheetViews>
  <sheetFormatPr baseColWidth="10" defaultRowHeight="16" x14ac:dyDescent="0.2"/>
  <cols>
    <col min="1" max="1" width="3.33203125" customWidth="1"/>
    <col min="2" max="2" width="29.5" bestFit="1" customWidth="1"/>
  </cols>
  <sheetData>
    <row r="1" spans="2:12 16384:16384" ht="17" thickBot="1" x14ac:dyDescent="0.25"/>
    <row r="2" spans="2:12 16384:16384" ht="17" thickTop="1" x14ac:dyDescent="0.2">
      <c r="B2" s="6" t="s">
        <v>96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2 16384:16384" ht="17" thickBot="1" x14ac:dyDescent="0.25">
      <c r="B3" s="8" t="s">
        <v>61</v>
      </c>
      <c r="C3" s="9"/>
      <c r="D3" s="9"/>
      <c r="E3" s="9"/>
      <c r="F3" s="9"/>
      <c r="G3" s="9"/>
      <c r="H3" s="9"/>
      <c r="I3" s="9"/>
      <c r="J3" s="9"/>
      <c r="K3" s="9"/>
      <c r="L3" s="9"/>
    </row>
    <row r="4" spans="2:12 16384:16384" ht="17" thickTop="1" x14ac:dyDescent="0.2"/>
    <row r="5" spans="2:12 16384:16384" x14ac:dyDescent="0.2">
      <c r="C5" s="1">
        <f t="shared" ref="C5:E5" si="0">D5-1</f>
        <v>2021</v>
      </c>
      <c r="D5" s="1">
        <f t="shared" si="0"/>
        <v>2022</v>
      </c>
      <c r="E5" s="1">
        <f t="shared" si="0"/>
        <v>2023</v>
      </c>
      <c r="F5" s="1">
        <f>G5-1</f>
        <v>2024</v>
      </c>
      <c r="G5" s="39">
        <f>H5-1</f>
        <v>2025</v>
      </c>
      <c r="H5" s="4">
        <f>_xlfn.NUMBERVALUE(ReadMe!$C$10)</f>
        <v>2026</v>
      </c>
      <c r="I5" s="4">
        <f>H5+1</f>
        <v>2027</v>
      </c>
      <c r="J5" s="4">
        <f t="shared" ref="J5:L5" si="1">I5+1</f>
        <v>2028</v>
      </c>
      <c r="K5" s="4">
        <f t="shared" si="1"/>
        <v>2029</v>
      </c>
      <c r="L5" s="4">
        <f t="shared" si="1"/>
        <v>2030</v>
      </c>
    </row>
    <row r="6" spans="2:12 16384:16384" x14ac:dyDescent="0.2">
      <c r="B6" t="s">
        <v>101</v>
      </c>
      <c r="C6" s="10">
        <f>BS!C10</f>
        <v>7150.8</v>
      </c>
      <c r="D6" s="10">
        <f>BS!D10</f>
        <v>7530.4000000000005</v>
      </c>
      <c r="E6" s="10">
        <f>BS!E10</f>
        <v>6597.3</v>
      </c>
      <c r="F6" s="10">
        <f>BS!F10</f>
        <v>8297.9</v>
      </c>
      <c r="G6" s="40">
        <f>BS!G10</f>
        <v>8991.2999999999993</v>
      </c>
      <c r="H6" s="10">
        <f>IS!H6*Assumptions!C20/365</f>
        <v>14071.819315068493</v>
      </c>
      <c r="I6" s="10">
        <f>IS!I6*Assumptions!D20/365</f>
        <v>16745.464984931503</v>
      </c>
      <c r="J6" s="10">
        <f>IS!J6*Assumptions!E20/365</f>
        <v>19424.739382520544</v>
      </c>
      <c r="K6" s="10">
        <f>IS!K6*Assumptions!F20/365</f>
        <v>22144.202896073421</v>
      </c>
      <c r="L6" s="10">
        <f>IS!L6*Assumptions!G20/365</f>
        <v>24801.507243602235</v>
      </c>
    </row>
    <row r="7" spans="2:12 16384:16384" x14ac:dyDescent="0.2">
      <c r="B7" t="s">
        <v>30</v>
      </c>
      <c r="C7" s="10">
        <f>BS!C11</f>
        <v>6961.2</v>
      </c>
      <c r="D7" s="10">
        <f>BS!D11</f>
        <v>7196.5</v>
      </c>
      <c r="E7" s="10">
        <f>BS!E11</f>
        <v>8197.2000000000007</v>
      </c>
      <c r="F7" s="10">
        <f>BS!F11</f>
        <v>8779.2000000000007</v>
      </c>
      <c r="G7" s="40">
        <f>BS!G11</f>
        <v>9184.2000000000007</v>
      </c>
      <c r="H7" s="10">
        <f>IS!H8*Assumptions!C21/365</f>
        <v>13874.81384465753</v>
      </c>
      <c r="I7" s="10">
        <f>IS!I8*Assumptions!D21/365</f>
        <v>17080.374284630132</v>
      </c>
      <c r="J7" s="10">
        <f>IS!J8*Assumptions!E21/365</f>
        <v>20175.829305311338</v>
      </c>
      <c r="K7" s="10">
        <f>IS!K8*Assumptions!F21/365</f>
        <v>23620.483089144982</v>
      </c>
      <c r="L7" s="10">
        <f>IS!L8*Assumptions!G21/365</f>
        <v>27116.314586338445</v>
      </c>
    </row>
    <row r="8" spans="2:12 16384:16384" x14ac:dyDescent="0.2">
      <c r="B8" t="s">
        <v>102</v>
      </c>
      <c r="C8" s="10">
        <f>BS!C27</f>
        <v>7010.2999999999993</v>
      </c>
      <c r="D8" s="10">
        <f>BS!D27</f>
        <v>8786.9000000000015</v>
      </c>
      <c r="E8" s="10">
        <f>BS!E27</f>
        <v>7471.5</v>
      </c>
      <c r="F8" s="10">
        <f>BS!F27</f>
        <v>8138.5</v>
      </c>
      <c r="G8" s="40">
        <f>BS!G27</f>
        <v>8353.9</v>
      </c>
      <c r="H8" s="10">
        <f>IS!H8*Assumptions!C22/365</f>
        <v>10366.240228767121</v>
      </c>
      <c r="I8" s="10">
        <f>IS!I8*Assumptions!D22/365</f>
        <v>13061.462688246571</v>
      </c>
      <c r="J8" s="10">
        <f>IS!J8*Assumptions!E22/365</f>
        <v>15993.035424941914</v>
      </c>
      <c r="K8" s="10">
        <f>IS!K8*Assumptions!F22/365</f>
        <v>19191.642509930298</v>
      </c>
      <c r="L8" s="10">
        <f>IS!L8*Assumptions!G22/365</f>
        <v>22032.005601399989</v>
      </c>
      <c r="XFD8" s="10"/>
    </row>
    <row r="9" spans="2:12 16384:16384" x14ac:dyDescent="0.2">
      <c r="B9" t="s">
        <v>44</v>
      </c>
      <c r="C9" s="10">
        <f>BS!C28</f>
        <v>8024.4</v>
      </c>
      <c r="D9" s="10">
        <f>BS!D28</f>
        <v>12735.300000000001</v>
      </c>
      <c r="E9" s="10">
        <f>BS!E28</f>
        <v>12429.300000000001</v>
      </c>
      <c r="F9" s="10">
        <f>BS!F28</f>
        <v>17367.5</v>
      </c>
      <c r="G9" s="40">
        <f>BS!G28</f>
        <v>18117.699999999997</v>
      </c>
      <c r="H9" s="10">
        <f>(IS!H12+IS!H15)*Assumptions!C25</f>
        <v>21760.426858499999</v>
      </c>
      <c r="I9" s="10">
        <f>(IS!I12+IS!I15)*Assumptions!D25</f>
        <v>25894.907961614997</v>
      </c>
      <c r="J9" s="10">
        <f>(IS!J12+IS!J15)*Assumptions!E25</f>
        <v>30038.093235473389</v>
      </c>
      <c r="K9" s="10">
        <f>(IS!K12+IS!K15)*Assumptions!F25</f>
        <v>34243.426288439667</v>
      </c>
      <c r="L9" s="10">
        <f>(IS!L12+IS!L15)*Assumptions!G25</f>
        <v>38352.637443052437</v>
      </c>
    </row>
    <row r="10" spans="2:12 16384:16384" x14ac:dyDescent="0.2">
      <c r="B10" t="s">
        <v>31</v>
      </c>
      <c r="C10" s="10">
        <f>BS!C12</f>
        <v>978.8</v>
      </c>
      <c r="D10" s="10">
        <f>BS!D12</f>
        <v>1264.3</v>
      </c>
      <c r="E10" s="10">
        <f>BS!E12</f>
        <v>1743.4</v>
      </c>
      <c r="F10" s="10">
        <f>BS!F12</f>
        <v>3244.2</v>
      </c>
      <c r="G10" s="40">
        <f>BS!G12</f>
        <v>5685.9</v>
      </c>
      <c r="H10" s="10">
        <f>IS!H6*Assumptions!C23</f>
        <v>6848.2853999999998</v>
      </c>
      <c r="I10" s="10">
        <f>IS!I6*Assumptions!D23</f>
        <v>7741.9866446999986</v>
      </c>
      <c r="J10" s="10">
        <f>IS!J6*Assumptions!E23</f>
        <v>8271.7015203899991</v>
      </c>
      <c r="K10" s="10">
        <f>IS!K6*Assumptions!F23</f>
        <v>8890.8974627734788</v>
      </c>
      <c r="L10" s="10">
        <f>IS!L6*Assumptions!G23</f>
        <v>9052.5501439148156</v>
      </c>
    </row>
    <row r="11" spans="2:12 16384:16384" x14ac:dyDescent="0.2">
      <c r="B11" t="s">
        <v>45</v>
      </c>
      <c r="C11" s="10">
        <f>BS!C29</f>
        <v>7995.7999999999993</v>
      </c>
      <c r="D11" s="10">
        <f>BS!D29</f>
        <v>9953.6</v>
      </c>
      <c r="E11" s="10">
        <f>BS!E29</f>
        <v>10586.2</v>
      </c>
      <c r="F11" s="10">
        <f>BS!F29</f>
        <v>12578.7</v>
      </c>
      <c r="G11" s="40">
        <f>BS!G29</f>
        <v>17694.399999999998</v>
      </c>
      <c r="H11" s="10">
        <f>IS!H6*Assumptions!C24</f>
        <v>24825.034574999994</v>
      </c>
      <c r="I11" s="10">
        <f>IS!I6*Assumptions!D24</f>
        <v>29541.791144249994</v>
      </c>
      <c r="J11" s="10">
        <f>IS!J6*Assumptions!E24</f>
        <v>34268.477727329991</v>
      </c>
      <c r="K11" s="10">
        <f>IS!K6*Assumptions!F24</f>
        <v>39066.064609156194</v>
      </c>
      <c r="L11" s="10">
        <f>IS!L6*Assumptions!G24</f>
        <v>43753.99236225494</v>
      </c>
      <c r="XFD11" s="10"/>
    </row>
    <row r="12" spans="2:12 16384:16384" x14ac:dyDescent="0.2">
      <c r="G12" s="41"/>
    </row>
    <row r="13" spans="2:12 16384:16384" x14ac:dyDescent="0.2">
      <c r="B13" t="s">
        <v>103</v>
      </c>
      <c r="C13" s="10">
        <f t="shared" ref="C13:C18" si="2">C6-C6</f>
        <v>0</v>
      </c>
      <c r="D13" s="10">
        <f>C6-D6</f>
        <v>-379.60000000000036</v>
      </c>
      <c r="E13" s="10">
        <f>D6-E6</f>
        <v>933.10000000000036</v>
      </c>
      <c r="F13" s="10">
        <f>E6-F6</f>
        <v>-1700.5999999999995</v>
      </c>
      <c r="G13" s="40">
        <f>F6-G6</f>
        <v>-693.39999999999964</v>
      </c>
      <c r="H13" s="10">
        <f>G6-H6</f>
        <v>-5080.5193150684936</v>
      </c>
      <c r="I13" s="10">
        <f>H6-I6</f>
        <v>-2673.64566986301</v>
      </c>
      <c r="J13" s="10">
        <f>I6-J6</f>
        <v>-2679.2743975890407</v>
      </c>
      <c r="K13" s="10">
        <f>J6-K6</f>
        <v>-2719.463513552877</v>
      </c>
      <c r="L13" s="10">
        <f>K6-L6</f>
        <v>-2657.3043475288141</v>
      </c>
    </row>
    <row r="14" spans="2:12 16384:16384" x14ac:dyDescent="0.2">
      <c r="B14" t="s">
        <v>104</v>
      </c>
      <c r="C14" s="10">
        <f t="shared" si="2"/>
        <v>0</v>
      </c>
      <c r="D14" s="10">
        <f>C7-D7</f>
        <v>-235.30000000000018</v>
      </c>
      <c r="E14" s="10">
        <f>D7-E7</f>
        <v>-1000.7000000000007</v>
      </c>
      <c r="F14" s="10">
        <f>E7-F7</f>
        <v>-582</v>
      </c>
      <c r="G14" s="40">
        <f>F7-G7</f>
        <v>-405</v>
      </c>
      <c r="H14" s="10">
        <f>G7-H7</f>
        <v>-4690.6138446575296</v>
      </c>
      <c r="I14" s="10">
        <f>H7-I7</f>
        <v>-3205.5604399726017</v>
      </c>
      <c r="J14" s="10">
        <f>I7-J7</f>
        <v>-3095.4550206812055</v>
      </c>
      <c r="K14" s="10">
        <f>J7-K7</f>
        <v>-3444.6537838336444</v>
      </c>
      <c r="L14" s="10">
        <f>K7-L7</f>
        <v>-3495.8314971934633</v>
      </c>
    </row>
    <row r="15" spans="2:12 16384:16384" x14ac:dyDescent="0.2">
      <c r="B15" t="s">
        <v>105</v>
      </c>
      <c r="C15" s="10">
        <f t="shared" si="2"/>
        <v>0</v>
      </c>
      <c r="D15" s="10">
        <f>D8-C8</f>
        <v>1776.6000000000022</v>
      </c>
      <c r="E15" s="10">
        <f>E8-D8</f>
        <v>-1315.4000000000015</v>
      </c>
      <c r="F15" s="10">
        <f>F8-E8</f>
        <v>667</v>
      </c>
      <c r="G15" s="40">
        <f>G8-F8</f>
        <v>215.39999999999964</v>
      </c>
      <c r="H15" s="10">
        <f>H8-G8</f>
        <v>2012.3402287671215</v>
      </c>
      <c r="I15" s="10">
        <f>I8-H8</f>
        <v>2695.2224594794498</v>
      </c>
      <c r="J15" s="10">
        <f>J8-I8</f>
        <v>2931.5727366953433</v>
      </c>
      <c r="K15" s="10">
        <f>K8-J8</f>
        <v>3198.6070849883836</v>
      </c>
      <c r="L15" s="10">
        <f>L8-K8</f>
        <v>2840.3630914696914</v>
      </c>
    </row>
    <row r="16" spans="2:12 16384:16384" x14ac:dyDescent="0.2">
      <c r="B16" t="s">
        <v>106</v>
      </c>
      <c r="C16" s="10">
        <f t="shared" si="2"/>
        <v>0</v>
      </c>
      <c r="D16" s="10">
        <f>D9-C9</f>
        <v>4710.9000000000015</v>
      </c>
      <c r="E16" s="10">
        <f>E9-D9</f>
        <v>-306</v>
      </c>
      <c r="F16" s="10">
        <f>F9-E9</f>
        <v>4938.1999999999989</v>
      </c>
      <c r="G16" s="40">
        <f>G9-F9</f>
        <v>750.19999999999709</v>
      </c>
      <c r="H16" s="10">
        <f>H9-G9</f>
        <v>3642.726858500002</v>
      </c>
      <c r="I16" s="10">
        <f>I9-H9</f>
        <v>4134.4811031149984</v>
      </c>
      <c r="J16" s="10">
        <f>J9-I9</f>
        <v>4143.1852738583912</v>
      </c>
      <c r="K16" s="10">
        <f>K9-J9</f>
        <v>4205.333052966278</v>
      </c>
      <c r="L16" s="10">
        <f>L9-K9</f>
        <v>4109.2111546127708</v>
      </c>
    </row>
    <row r="17" spans="2:12" x14ac:dyDescent="0.2">
      <c r="B17" t="s">
        <v>107</v>
      </c>
      <c r="C17" s="10">
        <f t="shared" si="2"/>
        <v>0</v>
      </c>
      <c r="D17" s="10">
        <f t="shared" ref="D17:L17" si="3">C10-D10</f>
        <v>-285.5</v>
      </c>
      <c r="E17" s="10">
        <f t="shared" si="3"/>
        <v>-479.10000000000014</v>
      </c>
      <c r="F17" s="10">
        <f t="shared" si="3"/>
        <v>-1500.7999999999997</v>
      </c>
      <c r="G17" s="40">
        <f t="shared" si="3"/>
        <v>-2441.6999999999998</v>
      </c>
      <c r="H17" s="10">
        <f t="shared" si="3"/>
        <v>-1162.3854000000001</v>
      </c>
      <c r="I17" s="10">
        <f t="shared" si="3"/>
        <v>-893.70124469999882</v>
      </c>
      <c r="J17" s="10">
        <f t="shared" si="3"/>
        <v>-529.71487569000055</v>
      </c>
      <c r="K17" s="10">
        <f t="shared" si="3"/>
        <v>-619.19594238347963</v>
      </c>
      <c r="L17" s="10">
        <f t="shared" si="3"/>
        <v>-161.65268114133687</v>
      </c>
    </row>
    <row r="18" spans="2:12" x14ac:dyDescent="0.2">
      <c r="B18" t="s">
        <v>108</v>
      </c>
      <c r="C18" s="10">
        <f t="shared" si="2"/>
        <v>0</v>
      </c>
      <c r="D18" s="10">
        <f t="shared" ref="D18:L18" si="4">D11-C11</f>
        <v>1957.8000000000011</v>
      </c>
      <c r="E18" s="10">
        <f t="shared" si="4"/>
        <v>632.60000000000036</v>
      </c>
      <c r="F18" s="10">
        <f t="shared" si="4"/>
        <v>1992.5</v>
      </c>
      <c r="G18" s="40">
        <f t="shared" si="4"/>
        <v>5115.6999999999971</v>
      </c>
      <c r="H18" s="10">
        <f t="shared" si="4"/>
        <v>7130.6345749999964</v>
      </c>
      <c r="I18" s="10">
        <f t="shared" si="4"/>
        <v>4716.7565692499993</v>
      </c>
      <c r="J18" s="10">
        <f t="shared" si="4"/>
        <v>4726.6865830799979</v>
      </c>
      <c r="K18" s="10">
        <f t="shared" si="4"/>
        <v>4797.5868818262024</v>
      </c>
      <c r="L18" s="10">
        <f t="shared" si="4"/>
        <v>4687.9277530987456</v>
      </c>
    </row>
    <row r="25" spans="2:12" x14ac:dyDescent="0.2">
      <c r="I25" s="10"/>
    </row>
  </sheetData>
  <pageMargins left="0.7" right="0.7" top="0.75" bottom="0.75" header="0.3" footer="0.3"/>
  <pageSetup paperSize="9"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902A2-14E4-BD4B-A07D-CB6CF104E65A}">
  <dimension ref="B1:L18"/>
  <sheetViews>
    <sheetView zoomScaleNormal="100" workbookViewId="0"/>
  </sheetViews>
  <sheetFormatPr baseColWidth="10" defaultRowHeight="16" x14ac:dyDescent="0.2"/>
  <cols>
    <col min="1" max="1" width="3.33203125" customWidth="1"/>
    <col min="2" max="2" width="35.83203125" bestFit="1" customWidth="1"/>
  </cols>
  <sheetData>
    <row r="1" spans="2:12" ht="17" thickBot="1" x14ac:dyDescent="0.25"/>
    <row r="2" spans="2:12" ht="17" thickTop="1" x14ac:dyDescent="0.2">
      <c r="B2" s="6" t="s">
        <v>109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2" ht="17" thickBot="1" x14ac:dyDescent="0.25">
      <c r="B3" s="8" t="s">
        <v>61</v>
      </c>
      <c r="C3" s="9"/>
      <c r="D3" s="9"/>
      <c r="E3" s="9"/>
      <c r="F3" s="9"/>
      <c r="G3" s="9"/>
      <c r="H3" s="9"/>
      <c r="I3" s="9"/>
      <c r="J3" s="9"/>
      <c r="K3" s="9"/>
      <c r="L3" s="9"/>
    </row>
    <row r="4" spans="2:12" ht="17" thickTop="1" x14ac:dyDescent="0.2"/>
    <row r="5" spans="2:12" x14ac:dyDescent="0.2">
      <c r="C5" s="1">
        <f t="shared" ref="C5:E5" si="0">D5-1</f>
        <v>2021</v>
      </c>
      <c r="D5" s="1">
        <f t="shared" si="0"/>
        <v>2022</v>
      </c>
      <c r="E5" s="1">
        <f t="shared" si="0"/>
        <v>2023</v>
      </c>
      <c r="F5" s="1">
        <f>G5-1</f>
        <v>2024</v>
      </c>
      <c r="G5" s="1">
        <f>H5-1</f>
        <v>2025</v>
      </c>
      <c r="H5" s="4">
        <f>_xlfn.NUMBERVALUE(ReadMe!$C$10)</f>
        <v>2026</v>
      </c>
      <c r="I5" s="4">
        <f>H5+1</f>
        <v>2027</v>
      </c>
      <c r="J5" s="4">
        <f t="shared" ref="J5:L5" si="1">I5+1</f>
        <v>2028</v>
      </c>
      <c r="K5" s="4">
        <f t="shared" si="1"/>
        <v>2029</v>
      </c>
      <c r="L5" s="4">
        <f t="shared" si="1"/>
        <v>2030</v>
      </c>
    </row>
    <row r="6" spans="2:12" x14ac:dyDescent="0.2">
      <c r="B6" t="s">
        <v>111</v>
      </c>
      <c r="C6" s="10">
        <f>C8</f>
        <v>4450.7</v>
      </c>
      <c r="D6" s="10">
        <f t="shared" ref="D6:L6" si="2">C8</f>
        <v>4450.7</v>
      </c>
      <c r="E6" s="10">
        <f t="shared" si="2"/>
        <v>7115.9000000000005</v>
      </c>
      <c r="F6" s="10">
        <f t="shared" si="2"/>
        <v>7257.2</v>
      </c>
      <c r="G6" s="10">
        <f t="shared" si="2"/>
        <v>8978</v>
      </c>
      <c r="H6" s="10">
        <f t="shared" si="2"/>
        <v>9586.9</v>
      </c>
      <c r="I6" s="10">
        <f t="shared" si="2"/>
        <v>9586.9</v>
      </c>
      <c r="J6" s="10">
        <f t="shared" si="2"/>
        <v>9586.9</v>
      </c>
      <c r="K6" s="10">
        <f t="shared" si="2"/>
        <v>9586.9</v>
      </c>
      <c r="L6" s="10">
        <f t="shared" si="2"/>
        <v>9586.9</v>
      </c>
    </row>
    <row r="7" spans="2:12" x14ac:dyDescent="0.2">
      <c r="B7" s="23" t="s">
        <v>115</v>
      </c>
      <c r="C7" s="10">
        <f>C8-C6</f>
        <v>0</v>
      </c>
      <c r="D7" s="10">
        <f>D8-D6</f>
        <v>2665.2000000000007</v>
      </c>
      <c r="E7" s="10">
        <f>E8-E6</f>
        <v>141.29999999999927</v>
      </c>
      <c r="F7" s="10">
        <f>F8-F6</f>
        <v>1720.8000000000002</v>
      </c>
      <c r="G7" s="10">
        <f>G8-G6</f>
        <v>608.89999999999964</v>
      </c>
      <c r="H7" s="10">
        <f>Assumptions!C34</f>
        <v>0</v>
      </c>
      <c r="I7" s="10">
        <f>Assumptions!D34</f>
        <v>0</v>
      </c>
      <c r="J7" s="10">
        <f>Assumptions!E34</f>
        <v>0</v>
      </c>
      <c r="K7" s="10">
        <f>Assumptions!F34</f>
        <v>0</v>
      </c>
      <c r="L7" s="10">
        <f>Assumptions!G34</f>
        <v>0</v>
      </c>
    </row>
    <row r="8" spans="2:12" x14ac:dyDescent="0.2">
      <c r="B8" t="s">
        <v>112</v>
      </c>
      <c r="C8" s="10">
        <f>BS!C9</f>
        <v>4450.7</v>
      </c>
      <c r="D8" s="10">
        <f>BS!D9</f>
        <v>7115.9000000000005</v>
      </c>
      <c r="E8" s="10">
        <f>BS!E9</f>
        <v>7257.2</v>
      </c>
      <c r="F8" s="10">
        <f>BS!F9</f>
        <v>8978</v>
      </c>
      <c r="G8" s="10">
        <f>BS!G9</f>
        <v>9586.9</v>
      </c>
      <c r="H8" s="10">
        <f>H6+H7</f>
        <v>9586.9</v>
      </c>
      <c r="I8" s="10">
        <f>I6+I7</f>
        <v>9586.9</v>
      </c>
      <c r="J8" s="10">
        <f>J6+J7</f>
        <v>9586.9</v>
      </c>
      <c r="K8" s="10">
        <f>K6+K7</f>
        <v>9586.9</v>
      </c>
      <c r="L8" s="10">
        <f>L6+L7</f>
        <v>9586.9</v>
      </c>
    </row>
    <row r="11" spans="2:12" ht="17" thickBot="1" x14ac:dyDescent="0.25"/>
    <row r="12" spans="2:12" ht="17" thickTop="1" x14ac:dyDescent="0.2">
      <c r="B12" s="6" t="s">
        <v>110</v>
      </c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2:12" ht="17" thickBot="1" x14ac:dyDescent="0.25">
      <c r="B13" s="8" t="s">
        <v>61</v>
      </c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2:12" ht="17" thickTop="1" x14ac:dyDescent="0.2"/>
    <row r="15" spans="2:12" x14ac:dyDescent="0.2">
      <c r="C15" s="1">
        <f t="shared" ref="C15" si="3">D15-1</f>
        <v>2021</v>
      </c>
      <c r="D15" s="1">
        <f t="shared" ref="D15" si="4">E15-1</f>
        <v>2022</v>
      </c>
      <c r="E15" s="1">
        <f t="shared" ref="E15" si="5">F15-1</f>
        <v>2023</v>
      </c>
      <c r="F15" s="1">
        <f>G15-1</f>
        <v>2024</v>
      </c>
      <c r="G15" s="1">
        <f>H15-1</f>
        <v>2025</v>
      </c>
      <c r="H15" s="4">
        <f>_xlfn.NUMBERVALUE(ReadMe!$C$10)</f>
        <v>2026</v>
      </c>
      <c r="I15" s="4">
        <f>H15+1</f>
        <v>2027</v>
      </c>
      <c r="J15" s="4">
        <f t="shared" ref="J15" si="6">I15+1</f>
        <v>2028</v>
      </c>
      <c r="K15" s="4">
        <f t="shared" ref="K15" si="7">J15+1</f>
        <v>2029</v>
      </c>
      <c r="L15" s="4">
        <f t="shared" ref="L15" si="8">K15+1</f>
        <v>2030</v>
      </c>
    </row>
    <row r="16" spans="2:12" x14ac:dyDescent="0.2">
      <c r="B16" t="s">
        <v>111</v>
      </c>
      <c r="C16" s="10">
        <f>C18</f>
        <v>267.60000000000002</v>
      </c>
      <c r="D16" s="10">
        <f t="shared" ref="D16:L16" si="9">C18</f>
        <v>267.60000000000002</v>
      </c>
      <c r="E16" s="10">
        <f t="shared" si="9"/>
        <v>1343.5</v>
      </c>
      <c r="F16" s="10">
        <f t="shared" si="9"/>
        <v>3260.1</v>
      </c>
      <c r="G16" s="10">
        <f t="shared" si="9"/>
        <v>3404.1000000000004</v>
      </c>
      <c r="H16" s="10">
        <f t="shared" si="9"/>
        <v>4282.3999999999996</v>
      </c>
      <c r="I16" s="10">
        <f t="shared" si="9"/>
        <v>4282.3999999999996</v>
      </c>
      <c r="J16" s="10">
        <f t="shared" si="9"/>
        <v>4282.3999999999996</v>
      </c>
      <c r="K16" s="10">
        <f t="shared" si="9"/>
        <v>4282.3999999999996</v>
      </c>
      <c r="L16" s="10">
        <f t="shared" si="9"/>
        <v>4282.3999999999996</v>
      </c>
    </row>
    <row r="17" spans="2:12" x14ac:dyDescent="0.2">
      <c r="B17" s="23" t="s">
        <v>115</v>
      </c>
      <c r="C17" s="10">
        <f>C18-C16</f>
        <v>0</v>
      </c>
      <c r="D17" s="10">
        <f>D18-D16</f>
        <v>1075.9000000000001</v>
      </c>
      <c r="E17" s="10">
        <f>E18-E16</f>
        <v>1916.6</v>
      </c>
      <c r="F17" s="10">
        <f>F18-F16</f>
        <v>144.00000000000045</v>
      </c>
      <c r="G17" s="10">
        <f>G18-G16</f>
        <v>878.29999999999927</v>
      </c>
      <c r="H17" s="10">
        <f>Assumptions!C35</f>
        <v>0</v>
      </c>
      <c r="I17" s="10">
        <f>Assumptions!D35</f>
        <v>0</v>
      </c>
      <c r="J17" s="10">
        <f>Assumptions!E35</f>
        <v>0</v>
      </c>
      <c r="K17" s="10">
        <f>Assumptions!F35</f>
        <v>0</v>
      </c>
      <c r="L17" s="10">
        <f>Assumptions!G35</f>
        <v>0</v>
      </c>
    </row>
    <row r="18" spans="2:12" x14ac:dyDescent="0.2">
      <c r="B18" t="s">
        <v>112</v>
      </c>
      <c r="C18" s="10">
        <f>BS!C18</f>
        <v>267.60000000000002</v>
      </c>
      <c r="D18" s="10">
        <f>BS!D18</f>
        <v>1343.5</v>
      </c>
      <c r="E18" s="10">
        <f>BS!E18</f>
        <v>3260.1</v>
      </c>
      <c r="F18" s="10">
        <f>BS!F18</f>
        <v>3404.1000000000004</v>
      </c>
      <c r="G18" s="10">
        <f>BS!G18</f>
        <v>4282.3999999999996</v>
      </c>
      <c r="H18" s="10">
        <f>H16+H17</f>
        <v>4282.3999999999996</v>
      </c>
      <c r="I18" s="10">
        <f>I16+I17</f>
        <v>4282.3999999999996</v>
      </c>
      <c r="J18" s="10">
        <f>J16+J17</f>
        <v>4282.3999999999996</v>
      </c>
      <c r="K18" s="10">
        <f>K16+K17</f>
        <v>4282.3999999999996</v>
      </c>
      <c r="L18" s="10">
        <f>L16+L17</f>
        <v>4282.3999999999996</v>
      </c>
    </row>
  </sheetData>
  <pageMargins left="0.7" right="0.7" top="0.75" bottom="0.75" header="0.3" footer="0.3"/>
  <pageSetup paperSize="9" orientation="portrait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01D8A-3715-2C48-866C-7D4DA9FE3FFA}">
  <dimension ref="A1:L57"/>
  <sheetViews>
    <sheetView zoomScaleNormal="100" workbookViewId="0"/>
  </sheetViews>
  <sheetFormatPr baseColWidth="10" defaultRowHeight="16" x14ac:dyDescent="0.2"/>
  <cols>
    <col min="1" max="1" width="3.33203125" customWidth="1"/>
    <col min="2" max="2" width="26.5" customWidth="1"/>
    <col min="3" max="3" width="12.1640625" customWidth="1"/>
  </cols>
  <sheetData>
    <row r="1" spans="1:12" ht="17" thickBot="1" x14ac:dyDescent="0.25"/>
    <row r="2" spans="1:12" ht="17" thickTop="1" x14ac:dyDescent="0.2">
      <c r="B2" s="6" t="s">
        <v>200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17" thickBot="1" x14ac:dyDescent="0.25">
      <c r="B3" s="8" t="s">
        <v>61</v>
      </c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17" thickTop="1" x14ac:dyDescent="0.2"/>
    <row r="5" spans="1:12" x14ac:dyDescent="0.2">
      <c r="C5" s="4"/>
      <c r="D5" s="4"/>
      <c r="E5" s="4"/>
      <c r="F5" s="4"/>
      <c r="G5" s="4"/>
      <c r="H5" s="30"/>
    </row>
    <row r="6" spans="1:12" x14ac:dyDescent="0.2">
      <c r="A6" t="s">
        <v>210</v>
      </c>
      <c r="B6" s="1" t="s">
        <v>205</v>
      </c>
    </row>
    <row r="7" spans="1:12" x14ac:dyDescent="0.2">
      <c r="B7" s="17" t="s">
        <v>166</v>
      </c>
      <c r="C7" s="38">
        <f>Assumptions!C53</f>
        <v>4.7E-2</v>
      </c>
    </row>
    <row r="8" spans="1:12" x14ac:dyDescent="0.2">
      <c r="B8" s="17" t="s">
        <v>167</v>
      </c>
      <c r="C8" s="38">
        <f>Assumptions!C54</f>
        <v>4.2999999999999997E-2</v>
      </c>
    </row>
    <row r="9" spans="1:12" x14ac:dyDescent="0.2">
      <c r="B9" s="17" t="s">
        <v>168</v>
      </c>
      <c r="C9">
        <f>Assumptions!C55</f>
        <v>1.26</v>
      </c>
    </row>
    <row r="10" spans="1:12" x14ac:dyDescent="0.2">
      <c r="B10" s="17" t="s">
        <v>206</v>
      </c>
      <c r="C10" s="38">
        <f>C7+C9*C8</f>
        <v>0.10117999999999999</v>
      </c>
    </row>
    <row r="11" spans="1:12" x14ac:dyDescent="0.2">
      <c r="B11" s="17" t="s">
        <v>207</v>
      </c>
      <c r="C11" s="38">
        <f>Assumptions!C56</f>
        <v>5.2999999999999999E-2</v>
      </c>
    </row>
    <row r="12" spans="1:12" x14ac:dyDescent="0.2">
      <c r="B12" s="17" t="s">
        <v>203</v>
      </c>
      <c r="C12" s="38">
        <f>Assumptions!C48</f>
        <v>0.2</v>
      </c>
    </row>
    <row r="13" spans="1:12" x14ac:dyDescent="0.2">
      <c r="B13" s="17" t="s">
        <v>208</v>
      </c>
      <c r="C13" s="38">
        <f>C11*(1-C12)</f>
        <v>4.24E-2</v>
      </c>
    </row>
    <row r="14" spans="1:12" x14ac:dyDescent="0.2">
      <c r="B14" s="17" t="s">
        <v>201</v>
      </c>
      <c r="C14" s="38">
        <f>Assumptions!D57</f>
        <v>0.98</v>
      </c>
    </row>
    <row r="15" spans="1:12" x14ac:dyDescent="0.2">
      <c r="B15" s="17" t="s">
        <v>202</v>
      </c>
      <c r="C15" s="38">
        <f>Assumptions!C57</f>
        <v>0.02</v>
      </c>
    </row>
    <row r="16" spans="1:12" x14ac:dyDescent="0.2">
      <c r="B16" s="17" t="s">
        <v>204</v>
      </c>
      <c r="C16" s="38">
        <f>IF(Sensitivity!$C$6="", C14*C10+C15*C11*(1-C12),Sensitivity!$C$6)</f>
        <v>0.10000439999999999</v>
      </c>
    </row>
    <row r="17" spans="1:12" x14ac:dyDescent="0.2">
      <c r="B17" s="17" t="s">
        <v>209</v>
      </c>
      <c r="C17" s="38">
        <f>IF(Sensitivity!$C$7="", Assumptions!C58,Sensitivity!$C$7)</f>
        <v>0.03</v>
      </c>
    </row>
    <row r="18" spans="1:12" ht="17" thickBot="1" x14ac:dyDescent="0.25"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</row>
    <row r="19" spans="1:12" ht="17" thickTop="1" x14ac:dyDescent="0.2"/>
    <row r="20" spans="1:12" x14ac:dyDescent="0.2">
      <c r="A20" t="s">
        <v>210</v>
      </c>
      <c r="B20" s="28" t="s">
        <v>212</v>
      </c>
      <c r="C20" s="4">
        <f>_xlfn.NUMBERVALUE(ReadMe!$C$10)</f>
        <v>2026</v>
      </c>
      <c r="D20" s="4">
        <f>C20+1</f>
        <v>2027</v>
      </c>
      <c r="E20" s="4">
        <f t="shared" ref="E20:G20" si="0">D20+1</f>
        <v>2028</v>
      </c>
      <c r="F20" s="4">
        <f t="shared" si="0"/>
        <v>2029</v>
      </c>
      <c r="G20" s="4">
        <f t="shared" si="0"/>
        <v>2030</v>
      </c>
      <c r="H20" s="30"/>
    </row>
    <row r="22" spans="1:12" x14ac:dyDescent="0.2">
      <c r="B22" t="s">
        <v>20</v>
      </c>
      <c r="C22" s="10">
        <f>IS!H18</f>
        <v>98957.724029999983</v>
      </c>
      <c r="D22" s="10">
        <f>IS!I18</f>
        <v>113684.96178269999</v>
      </c>
      <c r="E22" s="10">
        <f>IS!J18</f>
        <v>127147.86908485196</v>
      </c>
      <c r="F22" s="10">
        <f>IS!K18</f>
        <v>139560.14805202009</v>
      </c>
      <c r="G22" s="10">
        <f>IS!L18</f>
        <v>153289.8491036242</v>
      </c>
    </row>
    <row r="23" spans="1:12" x14ac:dyDescent="0.2">
      <c r="B23" s="23" t="s">
        <v>213</v>
      </c>
      <c r="C23" s="10">
        <f>C22*$C$12</f>
        <v>19791.544805999998</v>
      </c>
      <c r="D23" s="10">
        <f>D22*$C$12</f>
        <v>22736.992356539999</v>
      </c>
      <c r="E23" s="10">
        <f>E22*$C$12</f>
        <v>25429.573816970395</v>
      </c>
      <c r="F23" s="10">
        <f>F22*$C$12</f>
        <v>27912.029610404017</v>
      </c>
      <c r="G23" s="10">
        <f>G22*$C$12</f>
        <v>30657.969820724844</v>
      </c>
    </row>
    <row r="24" spans="1:12" x14ac:dyDescent="0.2">
      <c r="B24" t="s">
        <v>214</v>
      </c>
      <c r="C24" s="10">
        <f>C22-C23</f>
        <v>79166.179223999992</v>
      </c>
      <c r="D24" s="10">
        <f>D22-D23</f>
        <v>90947.969426159994</v>
      </c>
      <c r="E24" s="10">
        <f>E22-E23</f>
        <v>101718.29526788156</v>
      </c>
      <c r="F24" s="10">
        <f>F22-F23</f>
        <v>111648.11844161607</v>
      </c>
      <c r="G24" s="10">
        <f>G22-G23</f>
        <v>122631.87928289936</v>
      </c>
    </row>
    <row r="25" spans="1:12" x14ac:dyDescent="0.2">
      <c r="B25" s="23" t="s">
        <v>215</v>
      </c>
      <c r="C25" s="10">
        <f>'PP&amp;E'!H8</f>
        <v>27393.141599999999</v>
      </c>
      <c r="D25" s="10">
        <f>'PP&amp;E'!I8</f>
        <v>34635.203410499998</v>
      </c>
      <c r="E25" s="10">
        <f>'PP&amp;E'!J8</f>
        <v>42540.179247719992</v>
      </c>
      <c r="F25" s="10">
        <f>'PP&amp;E'!K8</f>
        <v>51190.015694756388</v>
      </c>
      <c r="G25" s="10">
        <f>'PP&amp;E'!L8</f>
        <v>60350.334292765445</v>
      </c>
    </row>
    <row r="26" spans="1:12" x14ac:dyDescent="0.2">
      <c r="B26" s="23" t="s">
        <v>216</v>
      </c>
      <c r="C26" s="10">
        <f>-'PP&amp;E'!H7</f>
        <v>-61634.568599999991</v>
      </c>
      <c r="D26" s="10">
        <f>-'PP&amp;E'!I7</f>
        <v>-65195.677007999991</v>
      </c>
      <c r="E26" s="10">
        <f>-'PP&amp;E'!J7</f>
        <v>-68536.955454659983</v>
      </c>
      <c r="F26" s="10">
        <f>-'PP&amp;E'!K7</f>
        <v>-72743.706513601195</v>
      </c>
      <c r="G26" s="10">
        <f>-'PP&amp;E'!L7</f>
        <v>-75437.917865956799</v>
      </c>
    </row>
    <row r="27" spans="1:12" x14ac:dyDescent="0.2">
      <c r="B27" s="23" t="s">
        <v>217</v>
      </c>
      <c r="C27" s="10">
        <f>SUM(WC_Schedule!H13:H18)</f>
        <v>1852.1831025410966</v>
      </c>
      <c r="D27" s="10">
        <f>SUM(WC_Schedule!I13:I18)</f>
        <v>4773.552777308837</v>
      </c>
      <c r="E27" s="10">
        <f>SUM(WC_Schedule!J13:J18)</f>
        <v>5497.0002996734856</v>
      </c>
      <c r="F27" s="10">
        <f>SUM(WC_Schedule!K13:K18)</f>
        <v>5418.213780010863</v>
      </c>
      <c r="G27" s="10">
        <f>SUM(WC_Schedule!L13:L18)</f>
        <v>5322.7134733175935</v>
      </c>
    </row>
    <row r="28" spans="1:12" x14ac:dyDescent="0.2">
      <c r="B28" s="46" t="s">
        <v>218</v>
      </c>
      <c r="C28" s="10">
        <f>SUM(C24:C27)</f>
        <v>46776.935326541097</v>
      </c>
      <c r="D28" s="10">
        <f>SUM(D24:D27)</f>
        <v>65161.048605968848</v>
      </c>
      <c r="E28" s="10">
        <f>SUM(E24:E27)</f>
        <v>81218.519360615057</v>
      </c>
      <c r="F28" s="10">
        <f>SUM(F24:F27)</f>
        <v>95512.641402782116</v>
      </c>
      <c r="G28" s="10">
        <f>SUM(G24:G27)</f>
        <v>112867.00918302558</v>
      </c>
    </row>
    <row r="29" spans="1:12" ht="17" thickBot="1" x14ac:dyDescent="0.25"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12" ht="17" thickTop="1" x14ac:dyDescent="0.2"/>
    <row r="31" spans="1:12" x14ac:dyDescent="0.2">
      <c r="A31" t="s">
        <v>210</v>
      </c>
      <c r="B31" s="1" t="s">
        <v>219</v>
      </c>
      <c r="C31" s="4">
        <f>_xlfn.NUMBERVALUE(ReadMe!$C$10)</f>
        <v>2026</v>
      </c>
      <c r="D31" s="4">
        <f>C31+1</f>
        <v>2027</v>
      </c>
      <c r="E31" s="4">
        <f t="shared" ref="E31" si="1">D31+1</f>
        <v>2028</v>
      </c>
      <c r="F31" s="4">
        <f t="shared" ref="F31" si="2">E31+1</f>
        <v>2029</v>
      </c>
      <c r="G31" s="4">
        <f t="shared" ref="G31" si="3">F31+1</f>
        <v>2030</v>
      </c>
      <c r="H31" s="30"/>
    </row>
    <row r="33" spans="1:12" x14ac:dyDescent="0.2">
      <c r="B33" t="s">
        <v>220</v>
      </c>
      <c r="C33">
        <f>1/(1+$C$16)^1</f>
        <v>0.90908727274181811</v>
      </c>
      <c r="D33">
        <f>1/(1+$C$16)^2</f>
        <v>0.82643966946115677</v>
      </c>
      <c r="E33">
        <f>1/(1+$C$16)^3</f>
        <v>0.7513057851960927</v>
      </c>
      <c r="F33">
        <f>1/(1+$C$16)^4</f>
        <v>0.68300252725906607</v>
      </c>
      <c r="G33">
        <f>1/(1+$C$16)^5</f>
        <v>0.62090890478171379</v>
      </c>
    </row>
    <row r="34" spans="1:12" x14ac:dyDescent="0.2">
      <c r="B34" t="s">
        <v>221</v>
      </c>
      <c r="C34" s="10">
        <f>C28*C33</f>
        <v>42524.31656322565</v>
      </c>
      <c r="D34" s="10">
        <f>D28*D33</f>
        <v>53851.675471659262</v>
      </c>
      <c r="E34" s="10">
        <f>E28*E33</f>
        <v>61019.943460690949</v>
      </c>
      <c r="F34" s="10">
        <f>F28*F33</f>
        <v>65235.375463289092</v>
      </c>
      <c r="G34" s="10">
        <f>G28*G33</f>
        <v>70080.13105782005</v>
      </c>
    </row>
    <row r="35" spans="1:12" ht="17" thickBot="1" x14ac:dyDescent="0.25"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7" thickTop="1" x14ac:dyDescent="0.2"/>
    <row r="37" spans="1:12" x14ac:dyDescent="0.2">
      <c r="A37" t="s">
        <v>210</v>
      </c>
      <c r="B37" s="1" t="s">
        <v>222</v>
      </c>
      <c r="C37" s="4"/>
      <c r="D37" s="4"/>
      <c r="E37" s="4"/>
      <c r="F37" s="4"/>
      <c r="G37" s="4"/>
      <c r="H37" s="30"/>
    </row>
    <row r="39" spans="1:12" x14ac:dyDescent="0.2">
      <c r="B39" t="s">
        <v>223</v>
      </c>
      <c r="C39" s="10">
        <f>G28*(1+C17)</f>
        <v>116253.01945851636</v>
      </c>
    </row>
    <row r="40" spans="1:12" x14ac:dyDescent="0.2">
      <c r="B40" t="s">
        <v>224</v>
      </c>
      <c r="C40" s="10">
        <f>C39/(C16-C17)</f>
        <v>1660653.0369307694</v>
      </c>
    </row>
    <row r="41" spans="1:12" x14ac:dyDescent="0.2">
      <c r="B41" t="s">
        <v>225</v>
      </c>
      <c r="C41" s="10">
        <f>C40/(1+C16)^5</f>
        <v>1031114.2583831109</v>
      </c>
    </row>
    <row r="42" spans="1:12" ht="17" thickBot="1" x14ac:dyDescent="0.25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7" thickTop="1" x14ac:dyDescent="0.2"/>
    <row r="44" spans="1:12" x14ac:dyDescent="0.2">
      <c r="A44" t="s">
        <v>210</v>
      </c>
      <c r="B44" s="1" t="s">
        <v>226</v>
      </c>
    </row>
    <row r="46" spans="1:12" x14ac:dyDescent="0.2">
      <c r="B46" s="1" t="s">
        <v>227</v>
      </c>
      <c r="C46" s="50">
        <f>SUM(C34:G34)+C41</f>
        <v>1323825.700399796</v>
      </c>
    </row>
    <row r="47" spans="1:12" x14ac:dyDescent="0.2">
      <c r="B47" s="23" t="s">
        <v>235</v>
      </c>
      <c r="C47" s="10">
        <f>BS!G8</f>
        <v>88232.6</v>
      </c>
    </row>
    <row r="48" spans="1:12" x14ac:dyDescent="0.2">
      <c r="B48" s="23" t="s">
        <v>228</v>
      </c>
      <c r="C48" s="10">
        <f>BS!G9</f>
        <v>9586.9</v>
      </c>
    </row>
    <row r="49" spans="2:12" x14ac:dyDescent="0.2">
      <c r="B49" s="23" t="s">
        <v>229</v>
      </c>
      <c r="C49" s="10">
        <f>BS!G18</f>
        <v>4282.3999999999996</v>
      </c>
    </row>
    <row r="50" spans="2:12" x14ac:dyDescent="0.2">
      <c r="B50" s="23" t="s">
        <v>230</v>
      </c>
      <c r="C50" s="10">
        <f>-(BS!G26+BS!G33)</f>
        <v>-32929.199999999997</v>
      </c>
    </row>
    <row r="51" spans="2:12" x14ac:dyDescent="0.2">
      <c r="B51" s="23" t="s">
        <v>231</v>
      </c>
      <c r="C51" s="10">
        <f>-BS!G34</f>
        <v>-1007.2</v>
      </c>
    </row>
    <row r="52" spans="2:12" x14ac:dyDescent="0.2">
      <c r="B52" s="23" t="s">
        <v>232</v>
      </c>
      <c r="C52" s="10">
        <f>-BS!G47</f>
        <v>-1312.8</v>
      </c>
    </row>
    <row r="53" spans="2:12" x14ac:dyDescent="0.2">
      <c r="B53" s="47" t="s">
        <v>233</v>
      </c>
      <c r="C53" s="50">
        <f>SUM(C46:C52)</f>
        <v>1390678.400399796</v>
      </c>
    </row>
    <row r="54" spans="2:12" x14ac:dyDescent="0.2">
      <c r="B54" t="s">
        <v>236</v>
      </c>
      <c r="C54" s="10">
        <f>IS!H37</f>
        <v>25932.7</v>
      </c>
    </row>
    <row r="55" spans="2:12" x14ac:dyDescent="0.2">
      <c r="B55" s="1" t="s">
        <v>234</v>
      </c>
      <c r="C55" s="49">
        <f>C53/C54</f>
        <v>53.626440763969654</v>
      </c>
    </row>
    <row r="56" spans="2:12" ht="17" thickBot="1" x14ac:dyDescent="0.25"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2:12" ht="17" thickTop="1" x14ac:dyDescent="0.2"/>
  </sheetData>
  <pageMargins left="0.7" right="0.7" top="0.75" bottom="0.75" header="0.3" footer="0.3"/>
  <pageSetup paperSize="9" orientation="portrait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10C45-4079-1E48-B361-91B4A0DFA354}">
  <dimension ref="A1:L59"/>
  <sheetViews>
    <sheetView zoomScaleNormal="100" workbookViewId="0"/>
  </sheetViews>
  <sheetFormatPr baseColWidth="10" defaultRowHeight="16" x14ac:dyDescent="0.2"/>
  <cols>
    <col min="1" max="1" width="3.33203125" customWidth="1"/>
    <col min="2" max="2" width="18.5" customWidth="1"/>
    <col min="3" max="3" width="17.33203125" bestFit="1" customWidth="1"/>
    <col min="4" max="4" width="17.1640625" customWidth="1"/>
    <col min="5" max="5" width="20.83203125" customWidth="1"/>
    <col min="6" max="6" width="19.1640625" customWidth="1"/>
    <col min="7" max="7" width="18" bestFit="1" customWidth="1"/>
    <col min="8" max="8" width="20.83203125" bestFit="1" customWidth="1"/>
    <col min="9" max="9" width="11.5" customWidth="1"/>
  </cols>
  <sheetData>
    <row r="1" spans="1:12" ht="17" thickBot="1" x14ac:dyDescent="0.25"/>
    <row r="2" spans="1:12" ht="17" thickTop="1" x14ac:dyDescent="0.2">
      <c r="B2" s="6" t="s">
        <v>237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17" thickBot="1" x14ac:dyDescent="0.25">
      <c r="B3" s="8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17" thickTop="1" x14ac:dyDescent="0.2"/>
    <row r="5" spans="1:12" x14ac:dyDescent="0.2">
      <c r="A5" t="s">
        <v>210</v>
      </c>
      <c r="B5" s="1" t="s">
        <v>244</v>
      </c>
    </row>
    <row r="7" spans="1:12" x14ac:dyDescent="0.2">
      <c r="B7" s="1" t="s">
        <v>238</v>
      </c>
      <c r="C7" s="1" t="s">
        <v>239</v>
      </c>
      <c r="D7" s="1" t="s">
        <v>240</v>
      </c>
      <c r="E7" s="1" t="s">
        <v>241</v>
      </c>
      <c r="F7" s="1" t="s">
        <v>267</v>
      </c>
      <c r="G7" s="1" t="s">
        <v>266</v>
      </c>
      <c r="H7" s="1" t="s">
        <v>268</v>
      </c>
      <c r="I7" s="1" t="s">
        <v>242</v>
      </c>
    </row>
    <row r="8" spans="1:12" x14ac:dyDescent="0.2">
      <c r="B8" t="s">
        <v>256</v>
      </c>
      <c r="C8" t="s">
        <v>260</v>
      </c>
      <c r="D8" t="s">
        <v>264</v>
      </c>
      <c r="E8">
        <v>225.16</v>
      </c>
      <c r="F8" s="53">
        <v>5270</v>
      </c>
      <c r="G8" s="53">
        <f>12.81-53.17</f>
        <v>-40.36</v>
      </c>
      <c r="H8" s="53">
        <v>5200</v>
      </c>
      <c r="I8" t="s">
        <v>265</v>
      </c>
    </row>
    <row r="9" spans="1:12" x14ac:dyDescent="0.2">
      <c r="B9" t="s">
        <v>257</v>
      </c>
      <c r="C9" t="s">
        <v>257</v>
      </c>
      <c r="D9" t="s">
        <v>264</v>
      </c>
      <c r="E9">
        <v>514.39</v>
      </c>
      <c r="F9" s="53">
        <v>839.73</v>
      </c>
      <c r="G9" s="53">
        <f>4.28-13.11</f>
        <v>-8.8299999999999983</v>
      </c>
      <c r="H9" s="53">
        <v>830.89</v>
      </c>
      <c r="I9" t="s">
        <v>265</v>
      </c>
    </row>
    <row r="10" spans="1:12" x14ac:dyDescent="0.2">
      <c r="B10" t="s">
        <v>243</v>
      </c>
      <c r="C10" t="s">
        <v>261</v>
      </c>
      <c r="D10" t="s">
        <v>264</v>
      </c>
      <c r="E10" s="48">
        <v>102.5</v>
      </c>
      <c r="F10" s="53">
        <v>491.89</v>
      </c>
      <c r="G10" s="53">
        <f>50.54-29.73</f>
        <v>20.81</v>
      </c>
      <c r="H10" s="53">
        <v>512.70000000000005</v>
      </c>
      <c r="I10" t="s">
        <v>265</v>
      </c>
    </row>
    <row r="11" spans="1:12" x14ac:dyDescent="0.2">
      <c r="B11" t="s">
        <v>258</v>
      </c>
      <c r="C11" t="s">
        <v>262</v>
      </c>
      <c r="D11" t="s">
        <v>264</v>
      </c>
      <c r="E11" s="10">
        <v>392.99</v>
      </c>
      <c r="F11" s="53">
        <v>2010</v>
      </c>
      <c r="G11" s="53">
        <f>64.91-19.63</f>
        <v>45.28</v>
      </c>
      <c r="H11" s="53">
        <v>2050</v>
      </c>
      <c r="I11" t="s">
        <v>265</v>
      </c>
    </row>
    <row r="12" spans="1:12" x14ac:dyDescent="0.2">
      <c r="B12" t="s">
        <v>259</v>
      </c>
      <c r="C12" t="s">
        <v>263</v>
      </c>
      <c r="D12" t="s">
        <v>264</v>
      </c>
      <c r="E12" s="48">
        <v>164.42</v>
      </c>
      <c r="F12" s="53">
        <v>170.28</v>
      </c>
      <c r="G12" s="53">
        <f>15.27-8.3</f>
        <v>6.9699999999999989</v>
      </c>
      <c r="H12" s="53">
        <v>177.24</v>
      </c>
      <c r="I12" t="s">
        <v>265</v>
      </c>
    </row>
    <row r="13" spans="1:12" x14ac:dyDescent="0.2">
      <c r="B13" t="s">
        <v>342</v>
      </c>
      <c r="E13" s="48">
        <v>426.35</v>
      </c>
      <c r="F13" s="53"/>
      <c r="G13" s="53"/>
      <c r="H13" s="53"/>
    </row>
    <row r="14" spans="1:12" ht="17" thickBot="1" x14ac:dyDescent="0.25">
      <c r="B14" s="8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17" thickTop="1" x14ac:dyDescent="0.2"/>
    <row r="16" spans="1:12" x14ac:dyDescent="0.2">
      <c r="A16" t="s">
        <v>210</v>
      </c>
      <c r="B16" s="1" t="s">
        <v>245</v>
      </c>
    </row>
    <row r="18" spans="1:12" x14ac:dyDescent="0.2">
      <c r="B18" s="1" t="s">
        <v>238</v>
      </c>
      <c r="C18" s="1" t="s">
        <v>246</v>
      </c>
      <c r="D18" s="1" t="s">
        <v>269</v>
      </c>
      <c r="E18" s="1" t="s">
        <v>321</v>
      </c>
      <c r="F18" s="1" t="s">
        <v>270</v>
      </c>
      <c r="G18" s="1" t="s">
        <v>322</v>
      </c>
      <c r="H18" s="1" t="s">
        <v>326</v>
      </c>
    </row>
    <row r="19" spans="1:12" x14ac:dyDescent="0.2">
      <c r="B19" t="s">
        <v>256</v>
      </c>
      <c r="C19" s="63">
        <v>2027</v>
      </c>
      <c r="D19">
        <v>253.49</v>
      </c>
      <c r="E19">
        <v>393.85</v>
      </c>
      <c r="F19">
        <v>165.51</v>
      </c>
      <c r="G19" s="48">
        <f>E19*(F19/D19)</f>
        <v>257.15457611740106</v>
      </c>
      <c r="H19">
        <v>9</v>
      </c>
    </row>
    <row r="20" spans="1:12" x14ac:dyDescent="0.2">
      <c r="B20" t="s">
        <v>257</v>
      </c>
      <c r="C20" s="63">
        <v>2026</v>
      </c>
      <c r="D20">
        <v>41.31</v>
      </c>
      <c r="E20">
        <v>50.81</v>
      </c>
      <c r="F20">
        <v>9.56</v>
      </c>
      <c r="G20" s="48">
        <f>E20*(F20/D20)</f>
        <v>11.75849915274752</v>
      </c>
      <c r="H20">
        <v>7.56</v>
      </c>
    </row>
    <row r="21" spans="1:12" x14ac:dyDescent="0.2">
      <c r="B21" t="s">
        <v>243</v>
      </c>
      <c r="C21" s="63">
        <v>2026</v>
      </c>
      <c r="D21">
        <v>57.03</v>
      </c>
      <c r="E21">
        <v>63.05</v>
      </c>
      <c r="F21">
        <v>16.84</v>
      </c>
      <c r="G21" s="48">
        <f>E21*(F21/D21)</f>
        <v>18.617604769419604</v>
      </c>
      <c r="H21">
        <v>1.33</v>
      </c>
    </row>
    <row r="22" spans="1:12" x14ac:dyDescent="0.2">
      <c r="B22" t="s">
        <v>258</v>
      </c>
      <c r="C22" s="63">
        <v>2026</v>
      </c>
      <c r="D22">
        <v>75.459999999999994</v>
      </c>
      <c r="E22">
        <v>106.04</v>
      </c>
      <c r="F22">
        <v>42.08</v>
      </c>
      <c r="G22" s="48">
        <f>E22*(F22/D22)</f>
        <v>59.132827988338192</v>
      </c>
      <c r="H22">
        <v>11.63</v>
      </c>
    </row>
    <row r="23" spans="1:12" x14ac:dyDescent="0.2">
      <c r="B23" t="s">
        <v>259</v>
      </c>
      <c r="C23" s="63">
        <v>2026</v>
      </c>
      <c r="D23">
        <v>44.07</v>
      </c>
      <c r="E23">
        <v>42.96</v>
      </c>
      <c r="F23">
        <v>12</v>
      </c>
      <c r="G23" s="48">
        <f>E23*(F23/D23)</f>
        <v>11.697753573859769</v>
      </c>
      <c r="H23">
        <v>10.53</v>
      </c>
    </row>
    <row r="24" spans="1:12" ht="17" thickBot="1" x14ac:dyDescent="0.25">
      <c r="B24" s="8"/>
      <c r="C24" s="9"/>
      <c r="D24" s="9"/>
      <c r="E24" s="9"/>
      <c r="F24" s="9"/>
      <c r="G24" s="9"/>
      <c r="H24" s="9"/>
      <c r="I24" s="9"/>
      <c r="J24" s="9"/>
      <c r="K24" s="9"/>
      <c r="L24" s="9"/>
    </row>
    <row r="25" spans="1:12" ht="17" thickTop="1" x14ac:dyDescent="0.2"/>
    <row r="26" spans="1:12" x14ac:dyDescent="0.2">
      <c r="A26" t="s">
        <v>210</v>
      </c>
      <c r="B26" s="1" t="s">
        <v>271</v>
      </c>
    </row>
    <row r="28" spans="1:12" x14ac:dyDescent="0.2">
      <c r="B28" s="1" t="s">
        <v>238</v>
      </c>
      <c r="C28" s="1" t="s">
        <v>344</v>
      </c>
      <c r="D28" s="1" t="s">
        <v>323</v>
      </c>
      <c r="E28" s="1" t="s">
        <v>324</v>
      </c>
      <c r="F28" s="1" t="s">
        <v>325</v>
      </c>
      <c r="G28" s="1" t="s">
        <v>251</v>
      </c>
      <c r="H28" s="1" t="s">
        <v>192</v>
      </c>
    </row>
    <row r="29" spans="1:12" x14ac:dyDescent="0.2">
      <c r="B29" t="s">
        <v>256</v>
      </c>
      <c r="C29">
        <v>24.81</v>
      </c>
      <c r="D29" s="48">
        <f>H8/G19</f>
        <v>20.221300660914537</v>
      </c>
      <c r="E29" s="48">
        <f>H8/((162.285/253.491)*E19)</f>
        <v>20.623228735767505</v>
      </c>
      <c r="F29" s="48">
        <f>H8/E19</f>
        <v>13.202996064491558</v>
      </c>
      <c r="G29">
        <v>26.96</v>
      </c>
      <c r="H29" s="64">
        <f>187.952/253.491</f>
        <v>0.74145433171197395</v>
      </c>
    </row>
    <row r="30" spans="1:12" x14ac:dyDescent="0.2">
      <c r="B30" t="s">
        <v>257</v>
      </c>
      <c r="C30">
        <v>65.36</v>
      </c>
      <c r="D30" s="48">
        <f>H9/G20</f>
        <v>70.662929784355356</v>
      </c>
      <c r="E30" s="48">
        <f>H9/((6.488/41.305)*E20)</f>
        <v>104.1084840200345</v>
      </c>
      <c r="F30" s="48">
        <f>H9/E20</f>
        <v>16.352883290690809</v>
      </c>
      <c r="G30">
        <v>11.73</v>
      </c>
      <c r="H30" s="64">
        <f>21.976/41.305</f>
        <v>0.53204212565064757</v>
      </c>
    </row>
    <row r="31" spans="1:12" x14ac:dyDescent="0.2">
      <c r="B31" t="s">
        <v>243</v>
      </c>
      <c r="C31">
        <v>76.92</v>
      </c>
      <c r="D31" s="48">
        <f>H10/G21</f>
        <v>27.538451178324337</v>
      </c>
      <c r="E31" s="48">
        <f>H10/((4.308/57.032)*E21)</f>
        <v>107.65175977857253</v>
      </c>
      <c r="F31" s="48">
        <f>H10/E21</f>
        <v>8.131641554321968</v>
      </c>
      <c r="G31">
        <v>5.62</v>
      </c>
      <c r="H31" s="64">
        <f>22.017/57.032</f>
        <v>0.38604643007434425</v>
      </c>
    </row>
    <row r="32" spans="1:12" x14ac:dyDescent="0.2">
      <c r="B32" t="s">
        <v>258</v>
      </c>
      <c r="C32">
        <v>22.62</v>
      </c>
      <c r="D32" s="48">
        <f>H11/G22</f>
        <v>34.667714529132418</v>
      </c>
      <c r="E32" s="48">
        <f>H11/((33.253/75.465)*E22)</f>
        <v>43.873156979009721</v>
      </c>
      <c r="F32" s="48">
        <f>H11/E22</f>
        <v>19.33232742361373</v>
      </c>
      <c r="G32">
        <v>22.92</v>
      </c>
      <c r="H32" s="64">
        <f>51.524/75.465</f>
        <v>0.68275359438150129</v>
      </c>
    </row>
    <row r="33" spans="1:12" x14ac:dyDescent="0.2">
      <c r="B33" t="s">
        <v>259</v>
      </c>
      <c r="C33">
        <v>15.58</v>
      </c>
      <c r="D33" s="48">
        <f>H12/G23</f>
        <v>15.151627094972067</v>
      </c>
      <c r="E33" s="48">
        <f>H12/((10.259/44.069)*E23)</f>
        <v>17.72252650758756</v>
      </c>
      <c r="F33" s="48">
        <f>H12/E23</f>
        <v>4.1256983240223466</v>
      </c>
      <c r="G33">
        <v>6.16</v>
      </c>
      <c r="H33" s="64">
        <f>23.897/44.069</f>
        <v>0.54226326896457822</v>
      </c>
    </row>
    <row r="34" spans="1:12" ht="17" thickBot="1" x14ac:dyDescent="0.25">
      <c r="B34" s="8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ht="17" thickTop="1" x14ac:dyDescent="0.2"/>
    <row r="36" spans="1:12" x14ac:dyDescent="0.2">
      <c r="A36" t="s">
        <v>210</v>
      </c>
      <c r="B36" s="1" t="s">
        <v>272</v>
      </c>
    </row>
    <row r="38" spans="1:12" x14ac:dyDescent="0.2">
      <c r="B38" s="1" t="s">
        <v>253</v>
      </c>
      <c r="C38" s="1" t="s">
        <v>254</v>
      </c>
      <c r="D38" s="1" t="s">
        <v>255</v>
      </c>
      <c r="E38" s="1" t="s">
        <v>280</v>
      </c>
      <c r="F38" s="1" t="s">
        <v>279</v>
      </c>
      <c r="G38" s="1" t="s">
        <v>278</v>
      </c>
      <c r="H38" s="1" t="s">
        <v>343</v>
      </c>
    </row>
    <row r="39" spans="1:12" x14ac:dyDescent="0.2">
      <c r="B39" t="s">
        <v>247</v>
      </c>
      <c r="C39">
        <f>MEDIAN(C29:C33)</f>
        <v>24.81</v>
      </c>
      <c r="D39" s="48">
        <f ca="1">IS!H40</f>
        <v>3.2231871253921449</v>
      </c>
      <c r="H39" s="48">
        <f ca="1">C39*D39</f>
        <v>79.967272580979113</v>
      </c>
    </row>
    <row r="40" spans="1:12" x14ac:dyDescent="0.2">
      <c r="B40" t="s">
        <v>323</v>
      </c>
      <c r="C40" s="48">
        <f>MEDIAN(D29:D33)</f>
        <v>27.538451178324337</v>
      </c>
      <c r="D40" s="10">
        <f>IS!H23</f>
        <v>126350.86562999999</v>
      </c>
      <c r="E40" s="10">
        <f>C40*D40</f>
        <v>3479507.1444907729</v>
      </c>
      <c r="F40" s="10">
        <f>(BS!$G$26+BS!$G$33)-(BS!$G$8+BS!$G$9+BS!$G$18)</f>
        <v>-69172.7</v>
      </c>
      <c r="G40" s="10">
        <f>E40-F40</f>
        <v>3548679.844490773</v>
      </c>
      <c r="H40" s="48">
        <f>G40/IS!H37</f>
        <v>136.84189631202199</v>
      </c>
    </row>
    <row r="41" spans="1:12" x14ac:dyDescent="0.2">
      <c r="B41" t="s">
        <v>324</v>
      </c>
      <c r="C41" s="48">
        <f>MEDIAN(E29:E33)</f>
        <v>43.873156979009721</v>
      </c>
      <c r="D41" s="10">
        <f>IS!H18</f>
        <v>98957.724029999983</v>
      </c>
      <c r="E41" s="10">
        <f>C41*D41</f>
        <v>4341587.7606537119</v>
      </c>
      <c r="F41" s="10">
        <f>(BS!$G$26+BS!$G$33)-(BS!$G$8+BS!$G$9+BS!$G$18)</f>
        <v>-69172.7</v>
      </c>
      <c r="G41" s="10">
        <f>E41-F41</f>
        <v>4410760.460653712</v>
      </c>
      <c r="H41" s="48">
        <f>G41/IS!H37</f>
        <v>170.08489130147311</v>
      </c>
    </row>
    <row r="42" spans="1:12" x14ac:dyDescent="0.2">
      <c r="B42" t="s">
        <v>325</v>
      </c>
      <c r="C42" s="48">
        <f>MEDIAN(F29:F33)</f>
        <v>13.202996064491558</v>
      </c>
      <c r="D42" s="10">
        <f>IS!H6</f>
        <v>171207.13499999998</v>
      </c>
      <c r="E42">
        <f>D42*C42</f>
        <v>2260447.1296178745</v>
      </c>
      <c r="F42" s="10">
        <f>(BS!$G$26+BS!$G$33)-(BS!$G$8+BS!$G$9+BS!$G$18)</f>
        <v>-69172.7</v>
      </c>
      <c r="G42" s="10">
        <f>E42-F42</f>
        <v>2329619.8296178747</v>
      </c>
      <c r="H42" s="48">
        <f>G42/IS!H37</f>
        <v>89.833292700639532</v>
      </c>
    </row>
    <row r="43" spans="1:12" x14ac:dyDescent="0.2">
      <c r="B43" t="s">
        <v>251</v>
      </c>
      <c r="C43">
        <f>MEDIAN(G29:G33)</f>
        <v>11.73</v>
      </c>
      <c r="D43" s="48">
        <f>(E13/5)/(BS!G49/IS!G37)</f>
        <v>12.854904146937686</v>
      </c>
      <c r="G43" s="10">
        <f>C43*BS!G49</f>
        <v>2017777.0050000001</v>
      </c>
      <c r="H43" s="48">
        <f>G43/IS!H37</f>
        <v>77.808211447323259</v>
      </c>
    </row>
    <row r="44" spans="1:12" x14ac:dyDescent="0.2">
      <c r="B44" t="s">
        <v>192</v>
      </c>
      <c r="C44" s="54">
        <f>MEDIAN(H29:H33)</f>
        <v>0.54226326896457822</v>
      </c>
      <c r="H44" s="48"/>
    </row>
    <row r="45" spans="1:12" ht="17" thickBot="1" x14ac:dyDescent="0.25">
      <c r="B45" s="8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7" thickTop="1" x14ac:dyDescent="0.2"/>
    <row r="47" spans="1:12" x14ac:dyDescent="0.2">
      <c r="A47" t="s">
        <v>210</v>
      </c>
      <c r="B47" s="1" t="s">
        <v>273</v>
      </c>
    </row>
    <row r="49" spans="2:12" x14ac:dyDescent="0.2">
      <c r="B49" s="1" t="s">
        <v>274</v>
      </c>
      <c r="C49" s="1" t="s">
        <v>275</v>
      </c>
    </row>
    <row r="50" spans="2:12" x14ac:dyDescent="0.2">
      <c r="B50" t="s">
        <v>333</v>
      </c>
      <c r="C50" s="48">
        <f ca="1">H39</f>
        <v>79.967272580979113</v>
      </c>
    </row>
    <row r="51" spans="2:12" x14ac:dyDescent="0.2">
      <c r="B51" t="s">
        <v>323</v>
      </c>
      <c r="C51" s="48">
        <f>H40</f>
        <v>136.84189631202199</v>
      </c>
    </row>
    <row r="52" spans="2:12" x14ac:dyDescent="0.2">
      <c r="B52" t="s">
        <v>324</v>
      </c>
      <c r="C52" s="48">
        <f>H41</f>
        <v>170.08489130147311</v>
      </c>
    </row>
    <row r="53" spans="2:12" x14ac:dyDescent="0.2">
      <c r="B53" t="s">
        <v>325</v>
      </c>
      <c r="C53" s="48">
        <f>H42</f>
        <v>89.833292700639532</v>
      </c>
    </row>
    <row r="54" spans="2:12" x14ac:dyDescent="0.2">
      <c r="B54" t="s">
        <v>251</v>
      </c>
      <c r="C54" s="48">
        <f>H43</f>
        <v>77.808211447323259</v>
      </c>
    </row>
    <row r="56" spans="2:12" x14ac:dyDescent="0.2">
      <c r="B56" s="1" t="s">
        <v>276</v>
      </c>
      <c r="C56" s="49">
        <f ca="1">MEDIAN(C50:C54)</f>
        <v>89.833292700639532</v>
      </c>
    </row>
    <row r="57" spans="2:12" x14ac:dyDescent="0.2">
      <c r="B57" s="1" t="s">
        <v>277</v>
      </c>
      <c r="C57" s="49">
        <f ca="1">AVERAGE(C50:C54)</f>
        <v>110.90711286848742</v>
      </c>
    </row>
    <row r="58" spans="2:12" ht="17" thickBot="1" x14ac:dyDescent="0.25">
      <c r="B58" s="8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2:12" ht="17" thickTop="1" x14ac:dyDescent="0.2"/>
  </sheetData>
  <pageMargins left="0.7" right="0.7" top="0.75" bottom="0.75" header="0.3" footer="0.3"/>
  <pageSetup paperSize="9" orientation="portrait" horizontalDpi="0" verticalDpi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E28FB-DAC3-BB41-96DD-67C2F0BBF8E6}">
  <dimension ref="A1:M50"/>
  <sheetViews>
    <sheetView zoomScaleNormal="100" workbookViewId="0"/>
  </sheetViews>
  <sheetFormatPr baseColWidth="10" defaultRowHeight="16" x14ac:dyDescent="0.2"/>
  <cols>
    <col min="1" max="1" width="3.33203125" customWidth="1"/>
    <col min="2" max="2" width="13" customWidth="1"/>
  </cols>
  <sheetData>
    <row r="1" spans="1:12" ht="17" thickBot="1" x14ac:dyDescent="0.25"/>
    <row r="2" spans="1:12" ht="17" thickTop="1" x14ac:dyDescent="0.2">
      <c r="B2" s="6" t="s">
        <v>291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17" thickBot="1" x14ac:dyDescent="0.25">
      <c r="B3" s="8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17" thickTop="1" x14ac:dyDescent="0.2"/>
    <row r="5" spans="1:12" x14ac:dyDescent="0.2">
      <c r="A5" t="s">
        <v>210</v>
      </c>
      <c r="B5" s="1" t="s">
        <v>292</v>
      </c>
    </row>
    <row r="6" spans="1:12" x14ac:dyDescent="0.2">
      <c r="B6" s="59" t="s">
        <v>295</v>
      </c>
      <c r="C6" s="57"/>
    </row>
    <row r="7" spans="1:12" x14ac:dyDescent="0.2">
      <c r="B7" s="59" t="s">
        <v>294</v>
      </c>
      <c r="C7" s="58"/>
    </row>
    <row r="8" spans="1:12" x14ac:dyDescent="0.2">
      <c r="E8" s="33"/>
    </row>
    <row r="9" spans="1:12" x14ac:dyDescent="0.2">
      <c r="E9" s="33"/>
    </row>
    <row r="10" spans="1:12" x14ac:dyDescent="0.2">
      <c r="C10" s="49">
        <f>DCF!$C$55</f>
        <v>53.626440763969654</v>
      </c>
      <c r="D10" s="55">
        <v>7.0000000000000007E-2</v>
      </c>
      <c r="E10" s="55">
        <v>0.08</v>
      </c>
      <c r="F10" s="55">
        <v>0.09</v>
      </c>
      <c r="G10" s="55">
        <v>0.1</v>
      </c>
      <c r="H10" s="55">
        <v>0.11</v>
      </c>
      <c r="I10" s="55">
        <v>0.12</v>
      </c>
    </row>
    <row r="11" spans="1:12" x14ac:dyDescent="0.2">
      <c r="C11" s="55">
        <v>0.01</v>
      </c>
      <c r="D11" s="48">
        <f t="dataTable" ref="D11:I15" dt2D="1" dtr="1" r1="C6" r2="C7"/>
        <v>67.163978383025636</v>
      </c>
      <c r="E11" s="48">
        <v>57.296773044486493</v>
      </c>
      <c r="F11" s="48">
        <v>49.91628976630949</v>
      </c>
      <c r="G11" s="48">
        <v>44.192793418032046</v>
      </c>
      <c r="H11" s="48">
        <v>39.628485184804063</v>
      </c>
      <c r="I11" s="48">
        <v>35.906619887369935</v>
      </c>
    </row>
    <row r="12" spans="1:12" x14ac:dyDescent="0.2">
      <c r="C12" s="55">
        <v>0.02</v>
      </c>
      <c r="D12" s="48">
        <v>78.231819487609727</v>
      </c>
      <c r="E12" s="48">
        <v>64.913615426551232</v>
      </c>
      <c r="F12" s="48">
        <v>55.422151009531824</v>
      </c>
      <c r="G12" s="48">
        <v>48.321519244820628</v>
      </c>
      <c r="H12" s="48">
        <v>42.814038341327908</v>
      </c>
      <c r="I12" s="48">
        <v>38.421136476684765</v>
      </c>
    </row>
    <row r="13" spans="1:12" x14ac:dyDescent="0.2">
      <c r="C13" s="55">
        <v>0.03</v>
      </c>
      <c r="D13" s="48">
        <v>94.833581144485819</v>
      </c>
      <c r="E13" s="48">
        <v>75.577194761441802</v>
      </c>
      <c r="F13" s="48">
        <v>62.763299333828243</v>
      </c>
      <c r="G13" s="48">
        <v>53.629881022120237</v>
      </c>
      <c r="H13" s="48">
        <v>46.795979786982699</v>
      </c>
      <c r="I13" s="48">
        <v>41.494434530291755</v>
      </c>
    </row>
    <row r="14" spans="1:12" x14ac:dyDescent="0.2">
      <c r="C14" s="55">
        <v>0.04</v>
      </c>
      <c r="D14" s="48">
        <v>122.50318390594602</v>
      </c>
      <c r="E14" s="48">
        <v>91.572563763777694</v>
      </c>
      <c r="F14" s="48">
        <v>73.040906987843229</v>
      </c>
      <c r="G14" s="48">
        <v>60.707696725186388</v>
      </c>
      <c r="H14" s="48">
        <v>51.915618788538865</v>
      </c>
      <c r="I14" s="48">
        <v>45.336057097300518</v>
      </c>
    </row>
    <row r="15" spans="1:12" x14ac:dyDescent="0.2">
      <c r="C15" s="55">
        <v>0.05</v>
      </c>
      <c r="D15" s="48">
        <v>177.84238942886643</v>
      </c>
      <c r="E15" s="48">
        <v>118.23151210100421</v>
      </c>
      <c r="F15" s="48">
        <v>88.457318468865708</v>
      </c>
      <c r="G15" s="48">
        <v>70.616638709478991</v>
      </c>
      <c r="H15" s="48">
        <v>58.741804123947084</v>
      </c>
      <c r="I15" s="48">
        <v>50.275286112026052</v>
      </c>
    </row>
    <row r="16" spans="1:12" ht="17" thickBot="1" x14ac:dyDescent="0.25">
      <c r="B16" s="8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17" thickTop="1" x14ac:dyDescent="0.2"/>
    <row r="18" spans="1:13" x14ac:dyDescent="0.2">
      <c r="A18" t="s">
        <v>210</v>
      </c>
      <c r="B18" s="1" t="s">
        <v>293</v>
      </c>
    </row>
    <row r="19" spans="1:13" x14ac:dyDescent="0.2">
      <c r="B19" s="59" t="s">
        <v>296</v>
      </c>
      <c r="C19" s="57"/>
    </row>
    <row r="20" spans="1:13" x14ac:dyDescent="0.2">
      <c r="B20" s="59" t="s">
        <v>297</v>
      </c>
      <c r="C20" s="58"/>
    </row>
    <row r="21" spans="1:13" x14ac:dyDescent="0.2">
      <c r="B21" s="59" t="s">
        <v>298</v>
      </c>
      <c r="C21" s="59">
        <f>($C$19*$C$20-Comps!$F$40)/IS!$H$37</f>
        <v>2.6673929054822674</v>
      </c>
    </row>
    <row r="23" spans="1:13" x14ac:dyDescent="0.2">
      <c r="C23" s="1">
        <f>$C$21</f>
        <v>2.6673929054822674</v>
      </c>
      <c r="D23" s="60">
        <v>20</v>
      </c>
      <c r="E23" s="60">
        <v>22.5</v>
      </c>
      <c r="F23" s="60">
        <v>25</v>
      </c>
      <c r="G23" s="60">
        <v>27.5</v>
      </c>
      <c r="H23" s="60">
        <v>30</v>
      </c>
      <c r="I23" s="60">
        <v>32.5</v>
      </c>
      <c r="J23" s="60">
        <v>35</v>
      </c>
    </row>
    <row r="24" spans="1:13" x14ac:dyDescent="0.2">
      <c r="B24" s="61">
        <v>0.8</v>
      </c>
      <c r="C24" s="50">
        <f>0.8*IS!$H$23</f>
        <v>101080.69250399999</v>
      </c>
      <c r="D24" s="48">
        <f t="dataTable" ref="D24:J28" dt2D="1" dtr="1" r1="C19" r2="C20"/>
        <v>80.623558290498082</v>
      </c>
      <c r="E24" s="48">
        <v>90.368078963625081</v>
      </c>
      <c r="F24" s="48">
        <v>100.11259963675205</v>
      </c>
      <c r="G24" s="48">
        <v>109.85712030987902</v>
      </c>
      <c r="H24" s="48">
        <v>119.60164098300601</v>
      </c>
      <c r="I24" s="48">
        <v>129.34616165613298</v>
      </c>
      <c r="J24" s="48">
        <v>139.09068232925995</v>
      </c>
    </row>
    <row r="25" spans="1:13" x14ac:dyDescent="0.2">
      <c r="B25" s="61">
        <v>0.9</v>
      </c>
      <c r="C25" s="50">
        <f>0.9*IS!$H$23</f>
        <v>113715.779067</v>
      </c>
      <c r="D25" s="48">
        <v>90.368078963625081</v>
      </c>
      <c r="E25" s="48">
        <v>101.33066472089293</v>
      </c>
      <c r="F25" s="48">
        <v>112.29325047816079</v>
      </c>
      <c r="G25" s="48">
        <v>123.25583623542863</v>
      </c>
      <c r="H25" s="48">
        <v>134.21842199269648</v>
      </c>
      <c r="I25" s="48">
        <v>145.18100774996432</v>
      </c>
      <c r="J25" s="48">
        <v>156.1435935072322</v>
      </c>
    </row>
    <row r="26" spans="1:13" x14ac:dyDescent="0.2">
      <c r="B26" s="61">
        <v>1</v>
      </c>
      <c r="C26" s="50">
        <f>IS!$H$23</f>
        <v>126350.86562999999</v>
      </c>
      <c r="D26" s="48">
        <v>100.11259963675205</v>
      </c>
      <c r="E26" s="48">
        <v>112.29325047816077</v>
      </c>
      <c r="F26" s="48">
        <v>124.47390131956949</v>
      </c>
      <c r="G26" s="48">
        <v>136.6545521609782</v>
      </c>
      <c r="H26" s="48">
        <v>148.83520300238695</v>
      </c>
      <c r="I26" s="48">
        <v>161.01585384379567</v>
      </c>
      <c r="J26" s="48">
        <v>173.19650468520436</v>
      </c>
    </row>
    <row r="27" spans="1:13" x14ac:dyDescent="0.2">
      <c r="B27" s="61">
        <v>1.1000000000000001</v>
      </c>
      <c r="C27" s="50">
        <f>1.1*IS!$H$23</f>
        <v>138985.952193</v>
      </c>
      <c r="D27" s="48">
        <v>109.85712030987904</v>
      </c>
      <c r="E27" s="48">
        <v>123.25583623542863</v>
      </c>
      <c r="F27" s="48">
        <v>136.65455216097823</v>
      </c>
      <c r="G27" s="48">
        <v>150.05326808652782</v>
      </c>
      <c r="H27" s="48">
        <v>163.45198401207745</v>
      </c>
      <c r="I27" s="48">
        <v>176.85069993762701</v>
      </c>
      <c r="J27" s="48">
        <v>190.24941586317661</v>
      </c>
    </row>
    <row r="28" spans="1:13" x14ac:dyDescent="0.2">
      <c r="B28" s="61">
        <v>1.2</v>
      </c>
      <c r="C28" s="50">
        <f>1.2*IS!$H$23</f>
        <v>151621.03875599997</v>
      </c>
      <c r="D28" s="48">
        <v>119.60164098300599</v>
      </c>
      <c r="E28" s="48">
        <v>134.21842199269645</v>
      </c>
      <c r="F28" s="48">
        <v>148.83520300238692</v>
      </c>
      <c r="G28" s="48">
        <v>163.45198401207736</v>
      </c>
      <c r="H28" s="48">
        <v>178.06876502176786</v>
      </c>
      <c r="I28" s="48">
        <v>192.6855460314583</v>
      </c>
      <c r="J28" s="48">
        <v>207.30232704114877</v>
      </c>
    </row>
    <row r="29" spans="1:13" ht="17" thickBot="1" x14ac:dyDescent="0.25">
      <c r="B29" s="8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13" ht="17" thickTop="1" x14ac:dyDescent="0.2"/>
    <row r="32" spans="1:13" x14ac:dyDescent="0.2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</row>
    <row r="33" spans="1:13" x14ac:dyDescent="0.2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</row>
    <row r="34" spans="1:13" x14ac:dyDescent="0.2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</row>
    <row r="35" spans="1:13" x14ac:dyDescent="0.2">
      <c r="A35" s="48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</row>
    <row r="36" spans="1:13" x14ac:dyDescent="0.2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</row>
    <row r="37" spans="1:13" x14ac:dyDescent="0.2">
      <c r="A37" s="4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</row>
    <row r="38" spans="1:13" x14ac:dyDescent="0.2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</row>
    <row r="39" spans="1:13" x14ac:dyDescent="0.2">
      <c r="A39" s="48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</row>
    <row r="40" spans="1:13" x14ac:dyDescent="0.2">
      <c r="A40" s="48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</row>
    <row r="41" spans="1:13" x14ac:dyDescent="0.2">
      <c r="A41" s="48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</row>
    <row r="42" spans="1:13" x14ac:dyDescent="0.2">
      <c r="A42" s="48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</row>
    <row r="43" spans="1:13" x14ac:dyDescent="0.2">
      <c r="A43" s="48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</row>
    <row r="44" spans="1:13" x14ac:dyDescent="0.2">
      <c r="A44" s="48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</row>
    <row r="45" spans="1:13" x14ac:dyDescent="0.2">
      <c r="A45" s="48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</row>
    <row r="46" spans="1:13" x14ac:dyDescent="0.2">
      <c r="A46" s="48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</row>
    <row r="47" spans="1:13" x14ac:dyDescent="0.2">
      <c r="A47" s="48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</row>
    <row r="48" spans="1:13" x14ac:dyDescent="0.2">
      <c r="A48" s="48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</row>
    <row r="49" spans="1:13" x14ac:dyDescent="0.2">
      <c r="A49" s="48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</row>
    <row r="50" spans="1:13" x14ac:dyDescent="0.2">
      <c r="A50" s="48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</row>
  </sheetData>
  <pageMargins left="0.7" right="0.7" top="0.75" bottom="0.75" header="0.3" footer="0.3"/>
  <pageSetup paperSize="9" orientation="portrait" horizontalDpi="0" verticalDpi="0"/>
  <legacy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CA7D0-8B99-134C-A359-076A802BF624}">
  <sheetPr>
    <tabColor rgb="FFFFFF00"/>
  </sheetPr>
  <dimension ref="A1:L53"/>
  <sheetViews>
    <sheetView zoomScaleNormal="100" workbookViewId="0"/>
  </sheetViews>
  <sheetFormatPr baseColWidth="10" defaultRowHeight="16" x14ac:dyDescent="0.2"/>
  <cols>
    <col min="1" max="1" width="3.33203125" customWidth="1"/>
    <col min="2" max="2" width="34.1640625" customWidth="1"/>
    <col min="3" max="3" width="16.83203125" customWidth="1"/>
    <col min="5" max="5" width="16.1640625" customWidth="1"/>
  </cols>
  <sheetData>
    <row r="1" spans="1:12" ht="17" thickBot="1" x14ac:dyDescent="0.25"/>
    <row r="2" spans="1:12" ht="17" thickTop="1" x14ac:dyDescent="0.2">
      <c r="B2" s="6" t="s">
        <v>252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17" thickBot="1" x14ac:dyDescent="0.25">
      <c r="B3" s="8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17" thickTop="1" x14ac:dyDescent="0.2"/>
    <row r="5" spans="1:12" x14ac:dyDescent="0.2">
      <c r="A5" t="s">
        <v>210</v>
      </c>
      <c r="B5" s="1" t="s">
        <v>281</v>
      </c>
    </row>
    <row r="7" spans="1:12" x14ac:dyDescent="0.2">
      <c r="B7" s="1" t="s">
        <v>283</v>
      </c>
      <c r="C7" s="1" t="s">
        <v>284</v>
      </c>
    </row>
    <row r="8" spans="1:12" x14ac:dyDescent="0.2">
      <c r="B8" t="s">
        <v>200</v>
      </c>
      <c r="C8" s="48">
        <f>DCF!C55</f>
        <v>53.626440763969654</v>
      </c>
    </row>
    <row r="9" spans="1:12" x14ac:dyDescent="0.2">
      <c r="B9" t="s">
        <v>247</v>
      </c>
      <c r="C9" s="48">
        <f ca="1">Comps!C50</f>
        <v>79.967272580979113</v>
      </c>
    </row>
    <row r="10" spans="1:12" x14ac:dyDescent="0.2">
      <c r="B10" t="s">
        <v>248</v>
      </c>
      <c r="C10" s="48">
        <f>Comps!C51</f>
        <v>136.84189631202199</v>
      </c>
    </row>
    <row r="11" spans="1:12" x14ac:dyDescent="0.2">
      <c r="B11" t="s">
        <v>249</v>
      </c>
      <c r="C11" s="48">
        <f>Comps!C52</f>
        <v>170.08489130147311</v>
      </c>
    </row>
    <row r="12" spans="1:12" x14ac:dyDescent="0.2">
      <c r="B12" t="s">
        <v>250</v>
      </c>
      <c r="C12" s="48">
        <f>Comps!C53</f>
        <v>89.833292700639532</v>
      </c>
    </row>
    <row r="13" spans="1:12" x14ac:dyDescent="0.2">
      <c r="B13" t="s">
        <v>251</v>
      </c>
      <c r="C13" s="48">
        <f>Comps!C54</f>
        <v>77.808211447323259</v>
      </c>
    </row>
    <row r="14" spans="1:12" ht="17" thickBot="1" x14ac:dyDescent="0.25">
      <c r="B14" s="8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17" thickTop="1" x14ac:dyDescent="0.2"/>
    <row r="16" spans="1:12" x14ac:dyDescent="0.2">
      <c r="A16" t="s">
        <v>210</v>
      </c>
      <c r="B16" s="1" t="s">
        <v>282</v>
      </c>
    </row>
    <row r="18" spans="1:12" x14ac:dyDescent="0.2">
      <c r="B18" s="1" t="s">
        <v>283</v>
      </c>
      <c r="C18" s="1" t="s">
        <v>285</v>
      </c>
      <c r="D18" s="55" t="s">
        <v>286</v>
      </c>
      <c r="E18" s="1" t="s">
        <v>287</v>
      </c>
    </row>
    <row r="19" spans="1:12" x14ac:dyDescent="0.2">
      <c r="B19" t="s">
        <v>200</v>
      </c>
      <c r="C19" s="48">
        <f t="shared" ref="C19:C24" si="0">C8</f>
        <v>53.626440763969654</v>
      </c>
      <c r="D19" s="11">
        <f>Assumptions!C64</f>
        <v>0.45</v>
      </c>
      <c r="E19" s="48">
        <f t="shared" ref="E19:E24" si="1">C19*D19</f>
        <v>24.131898343786347</v>
      </c>
    </row>
    <row r="20" spans="1:12" x14ac:dyDescent="0.2">
      <c r="B20" t="s">
        <v>247</v>
      </c>
      <c r="C20" s="48">
        <f t="shared" ca="1" si="0"/>
        <v>79.967272580979113</v>
      </c>
      <c r="D20" s="11">
        <f>Assumptions!C65</f>
        <v>0.3</v>
      </c>
      <c r="E20" s="48">
        <f t="shared" ca="1" si="1"/>
        <v>23.990181774293735</v>
      </c>
    </row>
    <row r="21" spans="1:12" x14ac:dyDescent="0.2">
      <c r="B21" t="s">
        <v>248</v>
      </c>
      <c r="C21" s="48">
        <f t="shared" si="0"/>
        <v>136.84189631202199</v>
      </c>
      <c r="D21" s="11">
        <f>Assumptions!C66</f>
        <v>0.15</v>
      </c>
      <c r="E21" s="48">
        <f t="shared" si="1"/>
        <v>20.526284446803299</v>
      </c>
    </row>
    <row r="22" spans="1:12" x14ac:dyDescent="0.2">
      <c r="B22" t="s">
        <v>249</v>
      </c>
      <c r="C22" s="48">
        <f t="shared" si="0"/>
        <v>170.08489130147311</v>
      </c>
      <c r="D22" s="11">
        <f>Assumptions!C67</f>
        <v>0</v>
      </c>
      <c r="E22" s="48">
        <f t="shared" si="1"/>
        <v>0</v>
      </c>
    </row>
    <row r="23" spans="1:12" x14ac:dyDescent="0.2">
      <c r="B23" t="s">
        <v>250</v>
      </c>
      <c r="C23" s="48">
        <f t="shared" si="0"/>
        <v>89.833292700639532</v>
      </c>
      <c r="D23" s="11">
        <f>Assumptions!C68</f>
        <v>0.05</v>
      </c>
      <c r="E23" s="48">
        <f t="shared" si="1"/>
        <v>4.4916646350319764</v>
      </c>
    </row>
    <row r="24" spans="1:12" x14ac:dyDescent="0.2">
      <c r="B24" t="s">
        <v>251</v>
      </c>
      <c r="C24" s="48">
        <f t="shared" si="0"/>
        <v>77.808211447323259</v>
      </c>
      <c r="D24" s="11">
        <f>Assumptions!C69</f>
        <v>0.05</v>
      </c>
      <c r="E24" s="48">
        <f t="shared" si="1"/>
        <v>3.8904105723661631</v>
      </c>
    </row>
    <row r="26" spans="1:12" x14ac:dyDescent="0.2">
      <c r="B26" s="1" t="s">
        <v>334</v>
      </c>
      <c r="C26" s="49">
        <f ca="1">SUM(E19:E24)</f>
        <v>77.030439772281525</v>
      </c>
    </row>
    <row r="27" spans="1:12" x14ac:dyDescent="0.2">
      <c r="B27" s="56" t="s">
        <v>288</v>
      </c>
    </row>
    <row r="28" spans="1:12" x14ac:dyDescent="0.2">
      <c r="B28" s="1" t="s">
        <v>335</v>
      </c>
      <c r="C28" s="49">
        <f ca="1">C26*5</f>
        <v>385.15219886140761</v>
      </c>
    </row>
    <row r="29" spans="1:12" ht="17" thickBot="1" x14ac:dyDescent="0.25">
      <c r="B29" s="8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12" ht="17" thickTop="1" x14ac:dyDescent="0.2"/>
    <row r="31" spans="1:12" x14ac:dyDescent="0.2">
      <c r="A31" t="s">
        <v>210</v>
      </c>
      <c r="B31" s="1" t="s">
        <v>289</v>
      </c>
    </row>
    <row r="33" spans="1:12" x14ac:dyDescent="0.2">
      <c r="B33" t="s">
        <v>299</v>
      </c>
    </row>
    <row r="34" spans="1:12" x14ac:dyDescent="0.2">
      <c r="B34" s="17" t="s">
        <v>300</v>
      </c>
      <c r="C34" s="48">
        <f>MIN(Sensitivity!D11:I15)</f>
        <v>35.906619887369935</v>
      </c>
    </row>
    <row r="35" spans="1:12" x14ac:dyDescent="0.2">
      <c r="B35" s="17" t="s">
        <v>301</v>
      </c>
      <c r="C35" s="48">
        <f>DCF!C55</f>
        <v>53.626440763969654</v>
      </c>
    </row>
    <row r="36" spans="1:12" x14ac:dyDescent="0.2">
      <c r="B36" s="17" t="s">
        <v>302</v>
      </c>
      <c r="C36" s="48">
        <f>MAX(Sensitivity!D11:I15)</f>
        <v>177.84238942886643</v>
      </c>
    </row>
    <row r="37" spans="1:12" x14ac:dyDescent="0.2">
      <c r="B37" s="17" t="s">
        <v>303</v>
      </c>
      <c r="C37" s="48">
        <f>C36-C34</f>
        <v>141.93576954149648</v>
      </c>
    </row>
    <row r="39" spans="1:12" x14ac:dyDescent="0.2">
      <c r="B39" t="s">
        <v>304</v>
      </c>
    </row>
    <row r="40" spans="1:12" x14ac:dyDescent="0.2">
      <c r="B40" s="17" t="s">
        <v>300</v>
      </c>
      <c r="C40" s="48">
        <f>MIN(Sensitivity!D24:J28)</f>
        <v>80.623558290498082</v>
      </c>
    </row>
    <row r="41" spans="1:12" x14ac:dyDescent="0.2">
      <c r="B41" s="17" t="s">
        <v>301</v>
      </c>
      <c r="C41" s="48">
        <f>Comps!H40</f>
        <v>136.84189631202199</v>
      </c>
    </row>
    <row r="42" spans="1:12" x14ac:dyDescent="0.2">
      <c r="B42" s="17" t="s">
        <v>302</v>
      </c>
      <c r="C42" s="48">
        <f>MAX(Sensitivity!D24:J28)</f>
        <v>207.30232704114877</v>
      </c>
    </row>
    <row r="43" spans="1:12" ht="17" thickBot="1" x14ac:dyDescent="0.25">
      <c r="B43" s="8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7" thickTop="1" x14ac:dyDescent="0.2"/>
    <row r="45" spans="1:12" x14ac:dyDescent="0.2">
      <c r="A45" t="s">
        <v>210</v>
      </c>
      <c r="B45" s="1" t="s">
        <v>290</v>
      </c>
    </row>
    <row r="46" spans="1:12" x14ac:dyDescent="0.2"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62"/>
    </row>
    <row r="52" spans="2:12" ht="17" thickBot="1" x14ac:dyDescent="0.25">
      <c r="B52" s="8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2:12" ht="17" thickTop="1" x14ac:dyDescent="0.2"/>
  </sheetData>
  <pageMargins left="0.7" right="0.7" top="0.75" bottom="0.75" header="0.3" footer="0.3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ReadMe</vt:lpstr>
      <vt:lpstr>Assumptions</vt:lpstr>
      <vt:lpstr>IS</vt:lpstr>
      <vt:lpstr>BS</vt:lpstr>
      <vt:lpstr>CF</vt:lpstr>
      <vt:lpstr>PP&amp;E</vt:lpstr>
      <vt:lpstr>WC_Schedule</vt:lpstr>
      <vt:lpstr>Securities</vt:lpstr>
      <vt:lpstr>DCF</vt:lpstr>
      <vt:lpstr>Comps</vt:lpstr>
      <vt:lpstr>Sensitivity</vt:lpstr>
      <vt:lpstr>Valuation_Summary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Janis Fischer</dc:creator>
  <cp:keywords/>
  <dc:description/>
  <cp:lastModifiedBy>Janis Fischer</cp:lastModifiedBy>
  <cp:lastPrinted>2025-11-22T16:53:23Z</cp:lastPrinted>
  <dcterms:created xsi:type="dcterms:W3CDTF">2025-11-19T20:40:42Z</dcterms:created>
  <dcterms:modified xsi:type="dcterms:W3CDTF">2026-08-16T10:43:08Z</dcterms:modified>
  <cp:category/>
</cp:coreProperties>
</file>